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comments3.xml" ContentType="application/vnd.openxmlformats-officedocument.spreadsheetml.comments+xml"/>
  <Override PartName="/xl/threadedComments/threadedComment2.xml" ContentType="application/vnd.ms-excel.threadedcomments+xml"/>
  <Override PartName="/xl/comments4.xml" ContentType="application/vnd.openxmlformats-officedocument.spreadsheetml.comments+xml"/>
  <Override PartName="/xl/threadedComments/threadedComment3.xml" ContentType="application/vnd.ms-excel.threadedcomments+xml"/>
  <Override PartName="/xl/comments5.xml" ContentType="application/vnd.openxmlformats-officedocument.spreadsheetml.comments+xml"/>
  <Override PartName="/xl/threadedComments/threadedComment4.xml" ContentType="application/vnd.ms-excel.threadedcomments+xml"/>
  <Override PartName="/xl/comments6.xml" ContentType="application/vnd.openxmlformats-officedocument.spreadsheetml.comments+xml"/>
  <Override PartName="/xl/threadedComments/threadedComment5.xml" ContentType="application/vnd.ms-excel.threadedcomments+xml"/>
  <Override PartName="/xl/comments7.xml" ContentType="application/vnd.openxmlformats-officedocument.spreadsheetml.comments+xml"/>
  <Override PartName="/xl/threadedComments/threadedComment6.xml" ContentType="application/vnd.ms-excel.threadedcomments+xml"/>
  <Override PartName="/xl/comments8.xml" ContentType="application/vnd.openxmlformats-officedocument.spreadsheetml.comments+xml"/>
  <Override PartName="/xl/threadedComments/threadedComment7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09cbd7fb6392cad/Desktop/"/>
    </mc:Choice>
  </mc:AlternateContent>
  <xr:revisionPtr revIDLastSave="3691" documentId="8_{B3439606-4C11-4EE7-B730-85DB950F915A}" xr6:coauthVersionLast="47" xr6:coauthVersionMax="47" xr10:uidLastSave="{F2686EA6-90DF-4D33-AA04-38158435B233}"/>
  <bookViews>
    <workbookView xWindow="-108" yWindow="-108" windowWidth="23256" windowHeight="13896" activeTab="3" xr2:uid="{21DBAD84-964E-4852-BAA4-BF8DF8008188}"/>
  </bookViews>
  <sheets>
    <sheet name="Cover Page" sheetId="9" r:id="rId1"/>
    <sheet name="Output Page" sheetId="10" r:id="rId2"/>
    <sheet name="Benchmarking" sheetId="11" r:id="rId3"/>
    <sheet name="Valuation" sheetId="12" r:id="rId4"/>
    <sheet name="Input Page-ADBE" sheetId="1" r:id="rId5"/>
    <sheet name="Input Page-ADSK" sheetId="3" r:id="rId6"/>
    <sheet name="Input Page-FIG" sheetId="4" r:id="rId7"/>
    <sheet name="Input Page-CRM" sheetId="5" r:id="rId8"/>
    <sheet name="Input Page-HUBS" sheetId="6" r:id="rId9"/>
    <sheet name="Input Page-DOCU" sheetId="7" r:id="rId10"/>
    <sheet name="Input Page-DBX" sheetId="8" r:id="rId11"/>
  </sheets>
  <definedNames>
    <definedName name="NM_Cap">Valuation!$H$21</definedName>
    <definedName name="_xlnm.Print_Area" localSheetId="2">Benchmarking!$C$3:$V$69</definedName>
    <definedName name="_xlnm.Print_Area" localSheetId="0">'Cover Page'!$B$2:$H$19</definedName>
    <definedName name="_xlnm.Print_Area" localSheetId="4">'Input Page-ADBE'!$C$3:$U$59</definedName>
    <definedName name="_xlnm.Print_Area" localSheetId="5">'Input Page-ADSK'!$C$3:$U$59</definedName>
    <definedName name="_xlnm.Print_Area" localSheetId="7">'Input Page-CRM'!$C$3:$U$59</definedName>
    <definedName name="_xlnm.Print_Area" localSheetId="10">'Input Page-DBX'!$C$3:$U$59</definedName>
    <definedName name="_xlnm.Print_Area" localSheetId="9">'Input Page-DOCU'!$C$3:$U$59</definedName>
    <definedName name="_xlnm.Print_Area" localSheetId="6">'Input Page-FIG'!$C$3:$U$59</definedName>
    <definedName name="_xlnm.Print_Area" localSheetId="8">'Input Page-HUBS'!$C$3:$U$59</definedName>
    <definedName name="_xlnm.Print_Area" localSheetId="1">'Output Page'!$C$3:$V$71</definedName>
    <definedName name="_xlnm.Print_Area" localSheetId="3">Valuation!$C$3:$K$51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2" l="1"/>
  <c r="C37" i="12"/>
  <c r="F51" i="12"/>
  <c r="F50" i="12"/>
  <c r="F49" i="12"/>
  <c r="G48" i="12"/>
  <c r="F48" i="12"/>
  <c r="E48" i="12"/>
  <c r="D48" i="12"/>
  <c r="C48" i="12"/>
  <c r="G47" i="12"/>
  <c r="F47" i="12"/>
  <c r="E47" i="12"/>
  <c r="D47" i="12"/>
  <c r="C47" i="12"/>
  <c r="G38" i="12"/>
  <c r="G37" i="12"/>
  <c r="M60" i="11"/>
  <c r="L60" i="11"/>
  <c r="M59" i="11"/>
  <c r="L59" i="11"/>
  <c r="M54" i="11"/>
  <c r="L54" i="11"/>
  <c r="M53" i="11"/>
  <c r="L53" i="11"/>
  <c r="M48" i="11"/>
  <c r="L48" i="11"/>
  <c r="M47" i="11"/>
  <c r="L47" i="11"/>
  <c r="M44" i="11"/>
  <c r="L44" i="11"/>
  <c r="V35" i="11"/>
  <c r="V34" i="11"/>
  <c r="U35" i="11"/>
  <c r="U34" i="11"/>
  <c r="S35" i="11"/>
  <c r="S34" i="11"/>
  <c r="G55" i="8"/>
  <c r="G54" i="8"/>
  <c r="F55" i="8"/>
  <c r="F54" i="8"/>
  <c r="E55" i="8"/>
  <c r="E54" i="8"/>
  <c r="D55" i="8"/>
  <c r="D54" i="8"/>
  <c r="G48" i="8"/>
  <c r="G47" i="8"/>
  <c r="G46" i="8"/>
  <c r="G45" i="8"/>
  <c r="E39" i="8"/>
  <c r="P62" i="10" s="1"/>
  <c r="D40" i="8"/>
  <c r="D39" i="8"/>
  <c r="D38" i="8"/>
  <c r="D37" i="8"/>
  <c r="D35" i="8"/>
  <c r="G55" i="7"/>
  <c r="G54" i="7"/>
  <c r="T25" i="11" s="1"/>
  <c r="F55" i="7"/>
  <c r="F54" i="7"/>
  <c r="E55" i="7"/>
  <c r="E54" i="7"/>
  <c r="D55" i="7"/>
  <c r="D54" i="7"/>
  <c r="P25" i="11" s="1"/>
  <c r="G48" i="7"/>
  <c r="G47" i="7"/>
  <c r="G46" i="7"/>
  <c r="G45" i="7"/>
  <c r="E39" i="7"/>
  <c r="P61" i="10" s="1"/>
  <c r="D40" i="7"/>
  <c r="D39" i="7"/>
  <c r="D38" i="7"/>
  <c r="D37" i="7"/>
  <c r="D35" i="7"/>
  <c r="G55" i="6"/>
  <c r="G54" i="6"/>
  <c r="T20" i="11" s="1"/>
  <c r="T21" i="11" s="1"/>
  <c r="F55" i="6"/>
  <c r="F54" i="6"/>
  <c r="E55" i="6"/>
  <c r="E54" i="6"/>
  <c r="D55" i="6"/>
  <c r="D54" i="6"/>
  <c r="G48" i="6"/>
  <c r="G47" i="6"/>
  <c r="G46" i="6"/>
  <c r="G45" i="6"/>
  <c r="E39" i="6"/>
  <c r="U20" i="10" s="1"/>
  <c r="D40" i="6"/>
  <c r="D39" i="6"/>
  <c r="D38" i="6"/>
  <c r="D37" i="6"/>
  <c r="D35" i="6"/>
  <c r="G55" i="5"/>
  <c r="G54" i="5"/>
  <c r="F55" i="5"/>
  <c r="F54" i="5"/>
  <c r="E55" i="5"/>
  <c r="E54" i="5"/>
  <c r="D55" i="5"/>
  <c r="D54" i="5"/>
  <c r="G48" i="5"/>
  <c r="G47" i="5"/>
  <c r="G46" i="5"/>
  <c r="G45" i="5"/>
  <c r="E39" i="5"/>
  <c r="U19" i="10" s="1"/>
  <c r="D40" i="5"/>
  <c r="D39" i="5"/>
  <c r="D38" i="5"/>
  <c r="D37" i="5"/>
  <c r="D35" i="5"/>
  <c r="G55" i="4"/>
  <c r="G54" i="4"/>
  <c r="F55" i="4"/>
  <c r="F54" i="4"/>
  <c r="E55" i="4"/>
  <c r="E54" i="4"/>
  <c r="D55" i="4"/>
  <c r="D54" i="4"/>
  <c r="G48" i="4"/>
  <c r="G47" i="4"/>
  <c r="G46" i="4"/>
  <c r="G45" i="4"/>
  <c r="E39" i="4"/>
  <c r="P50" i="10" s="1"/>
  <c r="D40" i="4"/>
  <c r="D39" i="4"/>
  <c r="T14" i="10" s="1"/>
  <c r="D38" i="4"/>
  <c r="D37" i="4"/>
  <c r="O14" i="10" s="1"/>
  <c r="D35" i="4"/>
  <c r="I50" i="10" s="1"/>
  <c r="G55" i="3"/>
  <c r="G54" i="3"/>
  <c r="F55" i="3"/>
  <c r="F54" i="3"/>
  <c r="E55" i="3"/>
  <c r="E54" i="3"/>
  <c r="D55" i="3"/>
  <c r="D54" i="3"/>
  <c r="G48" i="3"/>
  <c r="G47" i="3"/>
  <c r="G46" i="3"/>
  <c r="G45" i="3"/>
  <c r="E39" i="3"/>
  <c r="P49" i="10" s="1"/>
  <c r="D40" i="3"/>
  <c r="D39" i="3"/>
  <c r="D38" i="3"/>
  <c r="D37" i="3"/>
  <c r="D35" i="3"/>
  <c r="G55" i="1"/>
  <c r="G54" i="1"/>
  <c r="F55" i="1"/>
  <c r="F54" i="1"/>
  <c r="E55" i="1"/>
  <c r="E54" i="1"/>
  <c r="R10" i="11" s="1"/>
  <c r="D55" i="1"/>
  <c r="D54" i="1"/>
  <c r="G48" i="1"/>
  <c r="G47" i="1"/>
  <c r="G46" i="1"/>
  <c r="G45" i="1"/>
  <c r="E39" i="1"/>
  <c r="U10" i="10" s="1"/>
  <c r="D40" i="1"/>
  <c r="D39" i="1"/>
  <c r="D38" i="1"/>
  <c r="D37" i="1"/>
  <c r="D35" i="1"/>
  <c r="L43" i="4"/>
  <c r="L41" i="4"/>
  <c r="O41" i="4" s="1"/>
  <c r="K43" i="4"/>
  <c r="K41" i="4"/>
  <c r="J43" i="4"/>
  <c r="O50" i="8"/>
  <c r="O49" i="8"/>
  <c r="O43" i="8"/>
  <c r="O42" i="8"/>
  <c r="O41" i="8"/>
  <c r="O37" i="8"/>
  <c r="O34" i="8"/>
  <c r="O33" i="8"/>
  <c r="O29" i="8"/>
  <c r="O24" i="8"/>
  <c r="O19" i="8"/>
  <c r="O17" i="8"/>
  <c r="O16" i="8"/>
  <c r="O14" i="8"/>
  <c r="O12" i="8"/>
  <c r="O11" i="8"/>
  <c r="O50" i="7"/>
  <c r="O49" i="7"/>
  <c r="O43" i="7"/>
  <c r="O42" i="7"/>
  <c r="O41" i="7"/>
  <c r="O37" i="7"/>
  <c r="O54" i="7" s="1"/>
  <c r="O34" i="7"/>
  <c r="O33" i="7"/>
  <c r="O29" i="7"/>
  <c r="O24" i="7"/>
  <c r="O19" i="7"/>
  <c r="O17" i="7"/>
  <c r="O16" i="7"/>
  <c r="O14" i="7"/>
  <c r="O12" i="7"/>
  <c r="O11" i="7"/>
  <c r="O50" i="6"/>
  <c r="O49" i="6"/>
  <c r="O43" i="6"/>
  <c r="O42" i="6"/>
  <c r="O41" i="6"/>
  <c r="O37" i="6"/>
  <c r="O34" i="6"/>
  <c r="O33" i="6"/>
  <c r="O29" i="6"/>
  <c r="O24" i="6"/>
  <c r="O19" i="6"/>
  <c r="O17" i="6"/>
  <c r="O16" i="6"/>
  <c r="O14" i="6"/>
  <c r="O12" i="6"/>
  <c r="O11" i="6"/>
  <c r="D33" i="6" s="1"/>
  <c r="I20" i="10" s="1"/>
  <c r="O50" i="5"/>
  <c r="O51" i="5" s="1"/>
  <c r="O52" i="5" s="1"/>
  <c r="O49" i="5"/>
  <c r="O43" i="5"/>
  <c r="O42" i="5"/>
  <c r="O41" i="5"/>
  <c r="O37" i="5"/>
  <c r="O34" i="5"/>
  <c r="O33" i="5"/>
  <c r="O29" i="5"/>
  <c r="O24" i="5"/>
  <c r="O19" i="5"/>
  <c r="O17" i="5"/>
  <c r="O16" i="5"/>
  <c r="O14" i="5"/>
  <c r="O12" i="5"/>
  <c r="O11" i="5"/>
  <c r="O50" i="4"/>
  <c r="O49" i="4"/>
  <c r="O51" i="4" s="1"/>
  <c r="O43" i="4"/>
  <c r="O42" i="4"/>
  <c r="O37" i="4"/>
  <c r="O34" i="4"/>
  <c r="O33" i="4"/>
  <c r="O29" i="4"/>
  <c r="O24" i="4"/>
  <c r="O19" i="4"/>
  <c r="O17" i="4"/>
  <c r="O16" i="4"/>
  <c r="O14" i="4"/>
  <c r="O12" i="4"/>
  <c r="O11" i="4"/>
  <c r="O50" i="3"/>
  <c r="O49" i="3"/>
  <c r="O43" i="3"/>
  <c r="O42" i="3"/>
  <c r="O41" i="3"/>
  <c r="O37" i="3"/>
  <c r="O34" i="3"/>
  <c r="O33" i="3"/>
  <c r="O29" i="3"/>
  <c r="O24" i="3"/>
  <c r="O19" i="3"/>
  <c r="O17" i="3"/>
  <c r="O16" i="3"/>
  <c r="O14" i="3"/>
  <c r="O12" i="3"/>
  <c r="O11" i="3"/>
  <c r="O50" i="1"/>
  <c r="O49" i="1"/>
  <c r="O43" i="1"/>
  <c r="O42" i="1"/>
  <c r="O41" i="1"/>
  <c r="O37" i="1"/>
  <c r="O34" i="1"/>
  <c r="O33" i="1"/>
  <c r="O29" i="1"/>
  <c r="O24" i="1"/>
  <c r="O19" i="1"/>
  <c r="O17" i="1"/>
  <c r="O16" i="1"/>
  <c r="O14" i="1"/>
  <c r="O12" i="1"/>
  <c r="O11" i="1"/>
  <c r="O13" i="1" s="1"/>
  <c r="E38" i="12"/>
  <c r="F38" i="12"/>
  <c r="D38" i="12"/>
  <c r="F37" i="12"/>
  <c r="D37" i="12"/>
  <c r="I32" i="12"/>
  <c r="G32" i="12"/>
  <c r="I31" i="12"/>
  <c r="G31" i="12"/>
  <c r="I30" i="12"/>
  <c r="G30" i="12"/>
  <c r="I29" i="12"/>
  <c r="G29" i="12"/>
  <c r="F24" i="12"/>
  <c r="D17" i="12"/>
  <c r="D16" i="12"/>
  <c r="D15" i="12"/>
  <c r="D14" i="12"/>
  <c r="D13" i="12"/>
  <c r="D12" i="12"/>
  <c r="D11" i="12"/>
  <c r="L71" i="10"/>
  <c r="N35" i="10"/>
  <c r="M35" i="10"/>
  <c r="L70" i="10"/>
  <c r="K70" i="10"/>
  <c r="J70" i="10"/>
  <c r="L68" i="10"/>
  <c r="L67" i="10"/>
  <c r="L64" i="10"/>
  <c r="K64" i="10"/>
  <c r="L63" i="10"/>
  <c r="L58" i="10"/>
  <c r="R57" i="10"/>
  <c r="L57" i="10"/>
  <c r="V52" i="10"/>
  <c r="L52" i="10"/>
  <c r="L51" i="10"/>
  <c r="F51" i="10"/>
  <c r="V62" i="10"/>
  <c r="U62" i="10"/>
  <c r="S62" i="10"/>
  <c r="R62" i="10"/>
  <c r="Q62" i="10"/>
  <c r="K62" i="10"/>
  <c r="J62" i="10"/>
  <c r="H62" i="10"/>
  <c r="G62" i="10"/>
  <c r="F62" i="10"/>
  <c r="E62" i="10"/>
  <c r="D62" i="10"/>
  <c r="C62" i="10"/>
  <c r="V61" i="10"/>
  <c r="V64" i="10" s="1"/>
  <c r="U61" i="10"/>
  <c r="U63" i="10" s="1"/>
  <c r="S61" i="10"/>
  <c r="S67" i="10" s="1"/>
  <c r="R61" i="10"/>
  <c r="R64" i="10" s="1"/>
  <c r="Q61" i="10"/>
  <c r="Q71" i="10" s="1"/>
  <c r="K61" i="10"/>
  <c r="K63" i="10" s="1"/>
  <c r="J61" i="10"/>
  <c r="J64" i="10" s="1"/>
  <c r="H61" i="10"/>
  <c r="G61" i="10"/>
  <c r="F61" i="10"/>
  <c r="F64" i="10" s="1"/>
  <c r="E61" i="10"/>
  <c r="D61" i="10"/>
  <c r="C61" i="10"/>
  <c r="V56" i="10"/>
  <c r="V67" i="10" s="1"/>
  <c r="U56" i="10"/>
  <c r="U57" i="10" s="1"/>
  <c r="S56" i="10"/>
  <c r="R56" i="10"/>
  <c r="Q56" i="10"/>
  <c r="K56" i="10"/>
  <c r="J56" i="10"/>
  <c r="H56" i="10"/>
  <c r="G56" i="10"/>
  <c r="F56" i="10"/>
  <c r="E56" i="10"/>
  <c r="D56" i="10"/>
  <c r="C56" i="10"/>
  <c r="V55" i="10"/>
  <c r="U55" i="10"/>
  <c r="S55" i="10"/>
  <c r="R55" i="10"/>
  <c r="R58" i="10" s="1"/>
  <c r="Q55" i="10"/>
  <c r="Q57" i="10" s="1"/>
  <c r="P55" i="10"/>
  <c r="K55" i="10"/>
  <c r="K57" i="10" s="1"/>
  <c r="J55" i="10"/>
  <c r="J58" i="10" s="1"/>
  <c r="H55" i="10"/>
  <c r="G55" i="10"/>
  <c r="F55" i="10"/>
  <c r="F57" i="10" s="1"/>
  <c r="E55" i="10"/>
  <c r="D55" i="10"/>
  <c r="C55" i="10"/>
  <c r="V50" i="10"/>
  <c r="U50" i="10"/>
  <c r="S50" i="10"/>
  <c r="R50" i="10"/>
  <c r="Q50" i="10"/>
  <c r="K50" i="10"/>
  <c r="K68" i="10" s="1"/>
  <c r="J50" i="10"/>
  <c r="J52" i="10" s="1"/>
  <c r="H50" i="10"/>
  <c r="G50" i="10"/>
  <c r="F50" i="10"/>
  <c r="E50" i="10"/>
  <c r="D50" i="10"/>
  <c r="C50" i="10"/>
  <c r="V49" i="10"/>
  <c r="V70" i="10" s="1"/>
  <c r="U49" i="10"/>
  <c r="U52" i="10" s="1"/>
  <c r="S49" i="10"/>
  <c r="S70" i="10" s="1"/>
  <c r="R49" i="10"/>
  <c r="R52" i="10" s="1"/>
  <c r="Q49" i="10"/>
  <c r="Q52" i="10" s="1"/>
  <c r="K49" i="10"/>
  <c r="J49" i="10"/>
  <c r="H49" i="10"/>
  <c r="G49" i="10"/>
  <c r="F49" i="10"/>
  <c r="F70" i="10" s="1"/>
  <c r="E49" i="10"/>
  <c r="D49" i="10"/>
  <c r="C49" i="10"/>
  <c r="V46" i="10"/>
  <c r="U46" i="10"/>
  <c r="S46" i="10"/>
  <c r="R46" i="10"/>
  <c r="Q46" i="10"/>
  <c r="K46" i="10"/>
  <c r="J46" i="10"/>
  <c r="H46" i="10"/>
  <c r="G46" i="10"/>
  <c r="F46" i="10"/>
  <c r="E46" i="10"/>
  <c r="D46" i="10"/>
  <c r="C46" i="10"/>
  <c r="V26" i="10"/>
  <c r="Q26" i="10"/>
  <c r="P26" i="10"/>
  <c r="N26" i="10"/>
  <c r="M26" i="10"/>
  <c r="K26" i="10"/>
  <c r="J26" i="10"/>
  <c r="H26" i="10"/>
  <c r="G26" i="10"/>
  <c r="F26" i="10"/>
  <c r="F28" i="10" s="1"/>
  <c r="E26" i="10"/>
  <c r="D26" i="10"/>
  <c r="C26" i="10"/>
  <c r="V25" i="10"/>
  <c r="U25" i="10"/>
  <c r="Q25" i="10"/>
  <c r="Q27" i="10" s="1"/>
  <c r="P25" i="10"/>
  <c r="P27" i="10" s="1"/>
  <c r="N25" i="10"/>
  <c r="N28" i="10" s="1"/>
  <c r="M25" i="10"/>
  <c r="K25" i="10"/>
  <c r="J25" i="10"/>
  <c r="H25" i="10"/>
  <c r="G25" i="10"/>
  <c r="F25" i="10"/>
  <c r="E25" i="10"/>
  <c r="D25" i="10"/>
  <c r="C25" i="10"/>
  <c r="V20" i="10"/>
  <c r="Q20" i="10"/>
  <c r="P20" i="10"/>
  <c r="N20" i="10"/>
  <c r="M20" i="10"/>
  <c r="M31" i="10" s="1"/>
  <c r="K20" i="10"/>
  <c r="J20" i="10"/>
  <c r="H20" i="10"/>
  <c r="G20" i="10"/>
  <c r="F20" i="10"/>
  <c r="E20" i="10"/>
  <c r="D20" i="10"/>
  <c r="C20" i="10"/>
  <c r="V19" i="10"/>
  <c r="Q19" i="10"/>
  <c r="Q22" i="10" s="1"/>
  <c r="P19" i="10"/>
  <c r="P35" i="10" s="1"/>
  <c r="N19" i="10"/>
  <c r="M19" i="10"/>
  <c r="K19" i="10"/>
  <c r="J19" i="10"/>
  <c r="J21" i="10" s="1"/>
  <c r="I19" i="10"/>
  <c r="H19" i="10"/>
  <c r="G19" i="10"/>
  <c r="F19" i="10"/>
  <c r="F22" i="10" s="1"/>
  <c r="E19" i="10"/>
  <c r="D19" i="10"/>
  <c r="C19" i="10"/>
  <c r="V14" i="10"/>
  <c r="V35" i="10" s="1"/>
  <c r="Q14" i="10"/>
  <c r="P14" i="10"/>
  <c r="N14" i="10"/>
  <c r="M14" i="10"/>
  <c r="K14" i="10"/>
  <c r="J14" i="10"/>
  <c r="I14" i="10"/>
  <c r="H14" i="10"/>
  <c r="G14" i="10"/>
  <c r="F14" i="10"/>
  <c r="F35" i="10" s="1"/>
  <c r="E14" i="10"/>
  <c r="D14" i="10"/>
  <c r="C14" i="10"/>
  <c r="V13" i="10"/>
  <c r="V34" i="10" s="1"/>
  <c r="Q13" i="10"/>
  <c r="Q34" i="10" s="1"/>
  <c r="P13" i="10"/>
  <c r="P34" i="10" s="1"/>
  <c r="N13" i="10"/>
  <c r="N34" i="10" s="1"/>
  <c r="M13" i="10"/>
  <c r="M34" i="10" s="1"/>
  <c r="K13" i="10"/>
  <c r="K34" i="10" s="1"/>
  <c r="J13" i="10"/>
  <c r="J32" i="10" s="1"/>
  <c r="I13" i="10"/>
  <c r="H13" i="10"/>
  <c r="G13" i="10"/>
  <c r="F13" i="10"/>
  <c r="E13" i="10"/>
  <c r="D13" i="10"/>
  <c r="C13" i="10"/>
  <c r="V10" i="10"/>
  <c r="Q10" i="10"/>
  <c r="P10" i="10"/>
  <c r="N10" i="10"/>
  <c r="M10" i="10"/>
  <c r="K10" i="10"/>
  <c r="J10" i="10"/>
  <c r="I10" i="10"/>
  <c r="H10" i="10"/>
  <c r="G10" i="10"/>
  <c r="F10" i="10"/>
  <c r="E10" i="10"/>
  <c r="D10" i="10"/>
  <c r="C10" i="10"/>
  <c r="J68" i="11"/>
  <c r="J49" i="11"/>
  <c r="R60" i="11"/>
  <c r="Q60" i="11"/>
  <c r="K60" i="11"/>
  <c r="J60" i="11"/>
  <c r="F60" i="11"/>
  <c r="E60" i="11"/>
  <c r="D60" i="11"/>
  <c r="C60" i="11"/>
  <c r="R59" i="11"/>
  <c r="Q59" i="11"/>
  <c r="K59" i="11"/>
  <c r="J59" i="11"/>
  <c r="J62" i="11" s="1"/>
  <c r="F59" i="11"/>
  <c r="F61" i="11" s="1"/>
  <c r="E59" i="11"/>
  <c r="D59" i="11"/>
  <c r="C59" i="11"/>
  <c r="R54" i="11"/>
  <c r="Q54" i="11"/>
  <c r="K54" i="11"/>
  <c r="J54" i="11"/>
  <c r="F54" i="11"/>
  <c r="E54" i="11"/>
  <c r="D54" i="11"/>
  <c r="C54" i="11"/>
  <c r="R53" i="11"/>
  <c r="Q53" i="11"/>
  <c r="K53" i="11"/>
  <c r="K55" i="11" s="1"/>
  <c r="J53" i="11"/>
  <c r="J55" i="11" s="1"/>
  <c r="F53" i="11"/>
  <c r="F56" i="11" s="1"/>
  <c r="E53" i="11"/>
  <c r="D53" i="11"/>
  <c r="C53" i="11"/>
  <c r="R48" i="11"/>
  <c r="Q48" i="11"/>
  <c r="K48" i="11"/>
  <c r="J48" i="11"/>
  <c r="F48" i="11"/>
  <c r="E48" i="11"/>
  <c r="D48" i="11"/>
  <c r="C48" i="11"/>
  <c r="R47" i="11"/>
  <c r="Q47" i="11"/>
  <c r="K47" i="11"/>
  <c r="J47" i="11"/>
  <c r="J65" i="11" s="1"/>
  <c r="F47" i="11"/>
  <c r="F66" i="11" s="1"/>
  <c r="E47" i="11"/>
  <c r="D47" i="11"/>
  <c r="C47" i="11"/>
  <c r="R44" i="11"/>
  <c r="Q44" i="11"/>
  <c r="K44" i="11"/>
  <c r="J44" i="11"/>
  <c r="F44" i="11"/>
  <c r="E44" i="11"/>
  <c r="D44" i="11"/>
  <c r="C44" i="11"/>
  <c r="Q27" i="11"/>
  <c r="V22" i="11"/>
  <c r="S22" i="11"/>
  <c r="Q22" i="11"/>
  <c r="F22" i="11"/>
  <c r="V21" i="11"/>
  <c r="U21" i="11"/>
  <c r="S21" i="11"/>
  <c r="R21" i="11"/>
  <c r="Q21" i="11"/>
  <c r="F21" i="11"/>
  <c r="V15" i="11"/>
  <c r="U15" i="11"/>
  <c r="F15" i="11"/>
  <c r="E35" i="11"/>
  <c r="E34" i="11"/>
  <c r="V26" i="11"/>
  <c r="U26" i="11"/>
  <c r="T26" i="11"/>
  <c r="S26" i="11"/>
  <c r="R26" i="11"/>
  <c r="Q26" i="11"/>
  <c r="Q28" i="11" s="1"/>
  <c r="P26" i="11"/>
  <c r="G26" i="11"/>
  <c r="F26" i="11"/>
  <c r="E26" i="11"/>
  <c r="D26" i="11"/>
  <c r="C26" i="11"/>
  <c r="V25" i="11"/>
  <c r="V28" i="11" s="1"/>
  <c r="U25" i="11"/>
  <c r="U27" i="11" s="1"/>
  <c r="S25" i="11"/>
  <c r="S27" i="11" s="1"/>
  <c r="R25" i="11"/>
  <c r="Q25" i="11"/>
  <c r="G25" i="11"/>
  <c r="F25" i="11"/>
  <c r="F28" i="11" s="1"/>
  <c r="E25" i="11"/>
  <c r="E28" i="11" s="1"/>
  <c r="D25" i="11"/>
  <c r="C25" i="11"/>
  <c r="V20" i="11"/>
  <c r="U20" i="11"/>
  <c r="U22" i="11" s="1"/>
  <c r="S20" i="11"/>
  <c r="R20" i="11"/>
  <c r="Q20" i="11"/>
  <c r="P20" i="11"/>
  <c r="G20" i="11"/>
  <c r="F20" i="11"/>
  <c r="E20" i="11"/>
  <c r="E22" i="11" s="1"/>
  <c r="D20" i="11"/>
  <c r="C20" i="11"/>
  <c r="V19" i="11"/>
  <c r="U19" i="11"/>
  <c r="T19" i="11"/>
  <c r="S19" i="11"/>
  <c r="R19" i="11"/>
  <c r="R22" i="11" s="1"/>
  <c r="Q19" i="11"/>
  <c r="P19" i="11"/>
  <c r="P22" i="11" s="1"/>
  <c r="G19" i="11"/>
  <c r="F19" i="11"/>
  <c r="E19" i="11"/>
  <c r="E21" i="11" s="1"/>
  <c r="D19" i="11"/>
  <c r="C19" i="11"/>
  <c r="V14" i="11"/>
  <c r="U14" i="11"/>
  <c r="T14" i="11"/>
  <c r="S14" i="11"/>
  <c r="R14" i="11"/>
  <c r="Q14" i="11"/>
  <c r="P14" i="11"/>
  <c r="P15" i="11" s="1"/>
  <c r="H14" i="11"/>
  <c r="G14" i="11"/>
  <c r="F14" i="11"/>
  <c r="E14" i="11"/>
  <c r="D14" i="11"/>
  <c r="C14" i="11"/>
  <c r="V13" i="11"/>
  <c r="U13" i="11"/>
  <c r="U32" i="11" s="1"/>
  <c r="T13" i="11"/>
  <c r="S13" i="11"/>
  <c r="R13" i="11"/>
  <c r="Q13" i="11"/>
  <c r="Q15" i="11" s="1"/>
  <c r="P13" i="11"/>
  <c r="G13" i="11"/>
  <c r="F13" i="11"/>
  <c r="F16" i="11" s="1"/>
  <c r="E13" i="11"/>
  <c r="E16" i="11" s="1"/>
  <c r="D13" i="11"/>
  <c r="C13" i="11"/>
  <c r="V10" i="11"/>
  <c r="U10" i="11"/>
  <c r="T10" i="11"/>
  <c r="S10" i="11"/>
  <c r="Q10" i="11"/>
  <c r="P10" i="11"/>
  <c r="G10" i="11"/>
  <c r="F10" i="11"/>
  <c r="E10" i="11"/>
  <c r="D10" i="11"/>
  <c r="C10" i="11"/>
  <c r="E33" i="4"/>
  <c r="D57" i="4"/>
  <c r="G49" i="4"/>
  <c r="G48" i="11"/>
  <c r="D34" i="4"/>
  <c r="D33" i="4"/>
  <c r="U7" i="4"/>
  <c r="O10" i="4"/>
  <c r="N10" i="4"/>
  <c r="M10" i="4"/>
  <c r="D32" i="4"/>
  <c r="D57" i="8"/>
  <c r="G49" i="8"/>
  <c r="D42" i="8"/>
  <c r="D34" i="8"/>
  <c r="U7" i="8"/>
  <c r="O10" i="8"/>
  <c r="N10" i="8"/>
  <c r="M10" i="8"/>
  <c r="D32" i="8"/>
  <c r="E33" i="7"/>
  <c r="D57" i="7"/>
  <c r="G49" i="7"/>
  <c r="D34" i="7"/>
  <c r="D33" i="7"/>
  <c r="I25" i="10" s="1"/>
  <c r="U7" i="7"/>
  <c r="O10" i="7"/>
  <c r="N10" i="7"/>
  <c r="M10" i="7"/>
  <c r="D32" i="7"/>
  <c r="E33" i="6"/>
  <c r="D57" i="6"/>
  <c r="G49" i="6"/>
  <c r="D42" i="6"/>
  <c r="D41" i="6"/>
  <c r="T56" i="10" s="1"/>
  <c r="D34" i="6"/>
  <c r="U7" i="6"/>
  <c r="O10" i="6"/>
  <c r="N10" i="6"/>
  <c r="M10" i="6"/>
  <c r="D32" i="6"/>
  <c r="E33" i="5"/>
  <c r="D57" i="5"/>
  <c r="G49" i="5"/>
  <c r="D34" i="5"/>
  <c r="D33" i="5"/>
  <c r="U7" i="5"/>
  <c r="O10" i="5"/>
  <c r="N10" i="5"/>
  <c r="M10" i="5"/>
  <c r="D32" i="5"/>
  <c r="E33" i="3"/>
  <c r="D57" i="3"/>
  <c r="G49" i="3"/>
  <c r="D34" i="3"/>
  <c r="D33" i="3"/>
  <c r="U7" i="3"/>
  <c r="O10" i="3"/>
  <c r="N10" i="3"/>
  <c r="M10" i="3"/>
  <c r="D32" i="3"/>
  <c r="F57" i="1"/>
  <c r="D58" i="1"/>
  <c r="E41" i="1"/>
  <c r="F39" i="1"/>
  <c r="F33" i="1"/>
  <c r="E33" i="1"/>
  <c r="D57" i="1"/>
  <c r="G15" i="1"/>
  <c r="D34" i="1"/>
  <c r="D33" i="1"/>
  <c r="U7" i="1"/>
  <c r="O10" i="1"/>
  <c r="N10" i="1"/>
  <c r="M10" i="1"/>
  <c r="D32" i="1"/>
  <c r="O54" i="8"/>
  <c r="O55" i="8" s="1"/>
  <c r="N54" i="8"/>
  <c r="N55" i="8" s="1"/>
  <c r="M54" i="8"/>
  <c r="M55" i="8" s="1"/>
  <c r="L54" i="8"/>
  <c r="L55" i="8" s="1"/>
  <c r="K54" i="8"/>
  <c r="K55" i="8" s="1"/>
  <c r="J54" i="8"/>
  <c r="J55" i="8" s="1"/>
  <c r="K53" i="8"/>
  <c r="J53" i="8"/>
  <c r="K52" i="8"/>
  <c r="J52" i="8"/>
  <c r="O51" i="8"/>
  <c r="O52" i="8" s="1"/>
  <c r="N51" i="8"/>
  <c r="N53" i="8" s="1"/>
  <c r="M51" i="8"/>
  <c r="M53" i="8" s="1"/>
  <c r="L51" i="8"/>
  <c r="L53" i="8" s="1"/>
  <c r="K51" i="8"/>
  <c r="J51" i="8"/>
  <c r="R46" i="8"/>
  <c r="U45" i="8"/>
  <c r="T45" i="8"/>
  <c r="U44" i="8"/>
  <c r="T44" i="8"/>
  <c r="U43" i="8"/>
  <c r="T43" i="8"/>
  <c r="U42" i="8"/>
  <c r="U46" i="8" s="1"/>
  <c r="T42" i="8"/>
  <c r="U41" i="8"/>
  <c r="T41" i="8"/>
  <c r="R37" i="8"/>
  <c r="T36" i="8"/>
  <c r="U36" i="8" s="1"/>
  <c r="T35" i="8"/>
  <c r="U35" i="8" s="1"/>
  <c r="T34" i="8"/>
  <c r="U34" i="8" s="1"/>
  <c r="T33" i="8"/>
  <c r="U33" i="8" s="1"/>
  <c r="T32" i="8"/>
  <c r="T37" i="8" s="1"/>
  <c r="U51" i="8" s="1"/>
  <c r="G27" i="8"/>
  <c r="G26" i="8"/>
  <c r="G25" i="8"/>
  <c r="G24" i="8"/>
  <c r="U20" i="8"/>
  <c r="U23" i="8" s="1"/>
  <c r="U27" i="8" s="1"/>
  <c r="T20" i="8"/>
  <c r="T23" i="8" s="1"/>
  <c r="T27" i="8" s="1"/>
  <c r="T16" i="8"/>
  <c r="O13" i="8"/>
  <c r="O15" i="8" s="1"/>
  <c r="N13" i="8"/>
  <c r="N15" i="8" s="1"/>
  <c r="M13" i="8"/>
  <c r="M28" i="8" s="1"/>
  <c r="M30" i="8" s="1"/>
  <c r="M31" i="8" s="1"/>
  <c r="L13" i="8"/>
  <c r="L15" i="8" s="1"/>
  <c r="K13" i="8"/>
  <c r="K15" i="8" s="1"/>
  <c r="J13" i="8"/>
  <c r="J15" i="8" s="1"/>
  <c r="U12" i="8"/>
  <c r="U16" i="8" s="1"/>
  <c r="T12" i="8"/>
  <c r="N54" i="7"/>
  <c r="N55" i="7" s="1"/>
  <c r="M54" i="7"/>
  <c r="M55" i="7" s="1"/>
  <c r="L54" i="7"/>
  <c r="L55" i="7" s="1"/>
  <c r="K54" i="7"/>
  <c r="K55" i="7" s="1"/>
  <c r="J54" i="7"/>
  <c r="J55" i="7" s="1"/>
  <c r="O51" i="7"/>
  <c r="O52" i="7" s="1"/>
  <c r="N51" i="7"/>
  <c r="M51" i="7"/>
  <c r="L51" i="7"/>
  <c r="L52" i="7" s="1"/>
  <c r="K51" i="7"/>
  <c r="K53" i="7" s="1"/>
  <c r="J51" i="7"/>
  <c r="J53" i="7" s="1"/>
  <c r="R46" i="7"/>
  <c r="U45" i="7"/>
  <c r="T45" i="7"/>
  <c r="U44" i="7"/>
  <c r="T44" i="7"/>
  <c r="U43" i="7"/>
  <c r="T43" i="7"/>
  <c r="U42" i="7"/>
  <c r="T42" i="7"/>
  <c r="U41" i="7"/>
  <c r="T41" i="7"/>
  <c r="M39" i="7"/>
  <c r="R37" i="7"/>
  <c r="T36" i="7"/>
  <c r="U36" i="7" s="1"/>
  <c r="T35" i="7"/>
  <c r="U35" i="7" s="1"/>
  <c r="T34" i="7"/>
  <c r="U34" i="7" s="1"/>
  <c r="T33" i="7"/>
  <c r="U33" i="7" s="1"/>
  <c r="T32" i="7"/>
  <c r="T37" i="7" s="1"/>
  <c r="U51" i="7" s="1"/>
  <c r="N32" i="7"/>
  <c r="N35" i="7" s="1"/>
  <c r="N38" i="7" s="1"/>
  <c r="N39" i="7" s="1"/>
  <c r="G27" i="7"/>
  <c r="G26" i="7"/>
  <c r="G25" i="7"/>
  <c r="G24" i="7"/>
  <c r="U20" i="7"/>
  <c r="U23" i="7" s="1"/>
  <c r="U27" i="7" s="1"/>
  <c r="T20" i="7"/>
  <c r="T23" i="7" s="1"/>
  <c r="T27" i="7" s="1"/>
  <c r="O13" i="7"/>
  <c r="O15" i="7" s="1"/>
  <c r="N13" i="7"/>
  <c r="N15" i="7" s="1"/>
  <c r="N18" i="7" s="1"/>
  <c r="N22" i="7" s="1"/>
  <c r="M13" i="7"/>
  <c r="M15" i="7" s="1"/>
  <c r="M32" i="7" s="1"/>
  <c r="M35" i="7" s="1"/>
  <c r="M38" i="7" s="1"/>
  <c r="L13" i="7"/>
  <c r="K13" i="7"/>
  <c r="J13" i="7"/>
  <c r="U12" i="7"/>
  <c r="U16" i="7" s="1"/>
  <c r="T12" i="7"/>
  <c r="T16" i="7" s="1"/>
  <c r="O54" i="6"/>
  <c r="O55" i="6" s="1"/>
  <c r="N54" i="6"/>
  <c r="N55" i="6" s="1"/>
  <c r="M54" i="6"/>
  <c r="M55" i="6" s="1"/>
  <c r="L54" i="6"/>
  <c r="L55" i="6" s="1"/>
  <c r="K54" i="6"/>
  <c r="K55" i="6" s="1"/>
  <c r="J54" i="6"/>
  <c r="J55" i="6" s="1"/>
  <c r="U51" i="6"/>
  <c r="O51" i="6"/>
  <c r="O52" i="6" s="1"/>
  <c r="N51" i="6"/>
  <c r="M51" i="6"/>
  <c r="L51" i="6"/>
  <c r="L52" i="6" s="1"/>
  <c r="K51" i="6"/>
  <c r="K52" i="6" s="1"/>
  <c r="J51" i="6"/>
  <c r="J53" i="6" s="1"/>
  <c r="R46" i="6"/>
  <c r="U45" i="6"/>
  <c r="T45" i="6"/>
  <c r="U44" i="6"/>
  <c r="T44" i="6"/>
  <c r="U43" i="6"/>
  <c r="T43" i="6"/>
  <c r="U42" i="6"/>
  <c r="T42" i="6"/>
  <c r="U41" i="6"/>
  <c r="T41" i="6"/>
  <c r="R37" i="6"/>
  <c r="T36" i="6"/>
  <c r="U36" i="6" s="1"/>
  <c r="T35" i="6"/>
  <c r="U35" i="6" s="1"/>
  <c r="T34" i="6"/>
  <c r="U34" i="6" s="1"/>
  <c r="T33" i="6"/>
  <c r="U33" i="6" s="1"/>
  <c r="T32" i="6"/>
  <c r="T37" i="6" s="1"/>
  <c r="G27" i="6"/>
  <c r="G26" i="6"/>
  <c r="G25" i="6"/>
  <c r="G24" i="6"/>
  <c r="U20" i="6"/>
  <c r="U23" i="6" s="1"/>
  <c r="U27" i="6" s="1"/>
  <c r="T20" i="6"/>
  <c r="T23" i="6" s="1"/>
  <c r="T27" i="6" s="1"/>
  <c r="U16" i="6"/>
  <c r="O13" i="6"/>
  <c r="O15" i="6" s="1"/>
  <c r="O18" i="6" s="1"/>
  <c r="O23" i="6" s="1"/>
  <c r="N13" i="6"/>
  <c r="N15" i="6" s="1"/>
  <c r="N32" i="6" s="1"/>
  <c r="N35" i="6" s="1"/>
  <c r="N38" i="6" s="1"/>
  <c r="N39" i="6" s="1"/>
  <c r="M13" i="6"/>
  <c r="M15" i="6" s="1"/>
  <c r="M32" i="6" s="1"/>
  <c r="M35" i="6" s="1"/>
  <c r="M38" i="6" s="1"/>
  <c r="M39" i="6" s="1"/>
  <c r="L13" i="6"/>
  <c r="K13" i="6"/>
  <c r="J13" i="6"/>
  <c r="U12" i="6"/>
  <c r="T12" i="6"/>
  <c r="T16" i="6" s="1"/>
  <c r="O54" i="5"/>
  <c r="O55" i="5" s="1"/>
  <c r="N54" i="5"/>
  <c r="N55" i="5" s="1"/>
  <c r="M54" i="5"/>
  <c r="M55" i="5" s="1"/>
  <c r="L54" i="5"/>
  <c r="L55" i="5" s="1"/>
  <c r="K54" i="5"/>
  <c r="K55" i="5" s="1"/>
  <c r="J54" i="5"/>
  <c r="J55" i="5" s="1"/>
  <c r="N51" i="5"/>
  <c r="N53" i="5" s="1"/>
  <c r="M51" i="5"/>
  <c r="M53" i="5" s="1"/>
  <c r="L51" i="5"/>
  <c r="L53" i="5" s="1"/>
  <c r="K51" i="5"/>
  <c r="K53" i="5" s="1"/>
  <c r="J51" i="5"/>
  <c r="J53" i="5" s="1"/>
  <c r="R46" i="5"/>
  <c r="U45" i="5"/>
  <c r="T45" i="5"/>
  <c r="U44" i="5"/>
  <c r="T44" i="5"/>
  <c r="U43" i="5"/>
  <c r="T43" i="5"/>
  <c r="U42" i="5"/>
  <c r="U46" i="5" s="1"/>
  <c r="U54" i="5" s="1"/>
  <c r="T42" i="5"/>
  <c r="U41" i="5"/>
  <c r="T41" i="5"/>
  <c r="R37" i="5"/>
  <c r="T36" i="5"/>
  <c r="U36" i="5" s="1"/>
  <c r="T35" i="5"/>
  <c r="U35" i="5" s="1"/>
  <c r="T34" i="5"/>
  <c r="U34" i="5" s="1"/>
  <c r="T33" i="5"/>
  <c r="U33" i="5" s="1"/>
  <c r="T32" i="5"/>
  <c r="T37" i="5" s="1"/>
  <c r="U51" i="5" s="1"/>
  <c r="G27" i="5"/>
  <c r="G26" i="5"/>
  <c r="G25" i="5"/>
  <c r="G24" i="5"/>
  <c r="U20" i="5"/>
  <c r="U23" i="5" s="1"/>
  <c r="U27" i="5" s="1"/>
  <c r="T20" i="5"/>
  <c r="T23" i="5" s="1"/>
  <c r="T27" i="5" s="1"/>
  <c r="O13" i="5"/>
  <c r="O15" i="5" s="1"/>
  <c r="G53" i="11" s="1"/>
  <c r="N13" i="5"/>
  <c r="N15" i="5" s="1"/>
  <c r="M13" i="5"/>
  <c r="M15" i="5" s="1"/>
  <c r="L13" i="5"/>
  <c r="L15" i="5" s="1"/>
  <c r="K13" i="5"/>
  <c r="K15" i="5" s="1"/>
  <c r="J13" i="5"/>
  <c r="J15" i="5" s="1"/>
  <c r="U12" i="5"/>
  <c r="U16" i="5" s="1"/>
  <c r="U28" i="5" s="1"/>
  <c r="T12" i="5"/>
  <c r="T16" i="5" s="1"/>
  <c r="T28" i="5" s="1"/>
  <c r="O54" i="4"/>
  <c r="O55" i="4" s="1"/>
  <c r="N54" i="4"/>
  <c r="N55" i="4" s="1"/>
  <c r="M54" i="4"/>
  <c r="M55" i="4" s="1"/>
  <c r="L54" i="4"/>
  <c r="L55" i="4" s="1"/>
  <c r="K54" i="4"/>
  <c r="K55" i="4" s="1"/>
  <c r="J54" i="4"/>
  <c r="J55" i="4" s="1"/>
  <c r="N51" i="4"/>
  <c r="N53" i="4" s="1"/>
  <c r="M51" i="4"/>
  <c r="M53" i="4" s="1"/>
  <c r="L51" i="4"/>
  <c r="L53" i="4" s="1"/>
  <c r="K51" i="4"/>
  <c r="K53" i="4" s="1"/>
  <c r="J51" i="4"/>
  <c r="J53" i="4" s="1"/>
  <c r="R46" i="4"/>
  <c r="U45" i="4"/>
  <c r="T45" i="4"/>
  <c r="U44" i="4"/>
  <c r="T44" i="4"/>
  <c r="U43" i="4"/>
  <c r="T43" i="4"/>
  <c r="U42" i="4"/>
  <c r="U46" i="4" s="1"/>
  <c r="U54" i="4" s="1"/>
  <c r="T42" i="4"/>
  <c r="U41" i="4"/>
  <c r="T41" i="4"/>
  <c r="R37" i="4"/>
  <c r="T36" i="4"/>
  <c r="U36" i="4" s="1"/>
  <c r="T35" i="4"/>
  <c r="U35" i="4" s="1"/>
  <c r="T34" i="4"/>
  <c r="U34" i="4" s="1"/>
  <c r="T33" i="4"/>
  <c r="U33" i="4" s="1"/>
  <c r="T32" i="4"/>
  <c r="U32" i="4" s="1"/>
  <c r="U37" i="4" s="1"/>
  <c r="U52" i="4" s="1"/>
  <c r="G27" i="4"/>
  <c r="G26" i="4"/>
  <c r="G25" i="4"/>
  <c r="G24" i="4"/>
  <c r="U20" i="4"/>
  <c r="U23" i="4" s="1"/>
  <c r="U27" i="4" s="1"/>
  <c r="T20" i="4"/>
  <c r="T23" i="4" s="1"/>
  <c r="T27" i="4" s="1"/>
  <c r="O13" i="4"/>
  <c r="O15" i="4" s="1"/>
  <c r="P48" i="11" s="1"/>
  <c r="N13" i="4"/>
  <c r="N15" i="4" s="1"/>
  <c r="M13" i="4"/>
  <c r="M28" i="4" s="1"/>
  <c r="M30" i="4" s="1"/>
  <c r="M31" i="4" s="1"/>
  <c r="L13" i="4"/>
  <c r="L15" i="4" s="1"/>
  <c r="K13" i="4"/>
  <c r="K28" i="4" s="1"/>
  <c r="K30" i="4" s="1"/>
  <c r="K31" i="4" s="1"/>
  <c r="J13" i="4"/>
  <c r="J15" i="4" s="1"/>
  <c r="U12" i="4"/>
  <c r="U16" i="4" s="1"/>
  <c r="U28" i="4" s="1"/>
  <c r="T12" i="4"/>
  <c r="T16" i="4" s="1"/>
  <c r="O54" i="3"/>
  <c r="O55" i="3" s="1"/>
  <c r="N54" i="3"/>
  <c r="N55" i="3" s="1"/>
  <c r="M54" i="3"/>
  <c r="M55" i="3" s="1"/>
  <c r="L54" i="3"/>
  <c r="L55" i="3" s="1"/>
  <c r="K54" i="3"/>
  <c r="K55" i="3" s="1"/>
  <c r="J54" i="3"/>
  <c r="J55" i="3" s="1"/>
  <c r="L53" i="3"/>
  <c r="J53" i="3"/>
  <c r="L52" i="3"/>
  <c r="O51" i="3"/>
  <c r="O52" i="3" s="1"/>
  <c r="N51" i="3"/>
  <c r="N53" i="3" s="1"/>
  <c r="M51" i="3"/>
  <c r="M53" i="3" s="1"/>
  <c r="L51" i="3"/>
  <c r="K51" i="3"/>
  <c r="K53" i="3" s="1"/>
  <c r="J51" i="3"/>
  <c r="J52" i="3" s="1"/>
  <c r="R46" i="3"/>
  <c r="U45" i="3"/>
  <c r="T45" i="3"/>
  <c r="U44" i="3"/>
  <c r="T44" i="3"/>
  <c r="U43" i="3"/>
  <c r="T43" i="3"/>
  <c r="U42" i="3"/>
  <c r="U46" i="3" s="1"/>
  <c r="U54" i="3" s="1"/>
  <c r="T42" i="3"/>
  <c r="U41" i="3"/>
  <c r="T41" i="3"/>
  <c r="R37" i="3"/>
  <c r="T36" i="3"/>
  <c r="U36" i="3" s="1"/>
  <c r="T35" i="3"/>
  <c r="U35" i="3" s="1"/>
  <c r="T34" i="3"/>
  <c r="U34" i="3" s="1"/>
  <c r="T33" i="3"/>
  <c r="U33" i="3" s="1"/>
  <c r="T32" i="3"/>
  <c r="T37" i="3" s="1"/>
  <c r="U51" i="3" s="1"/>
  <c r="G27" i="3"/>
  <c r="G26" i="3"/>
  <c r="G25" i="3"/>
  <c r="G24" i="3"/>
  <c r="U20" i="3"/>
  <c r="U23" i="3" s="1"/>
  <c r="U27" i="3" s="1"/>
  <c r="T20" i="3"/>
  <c r="T23" i="3" s="1"/>
  <c r="T27" i="3" s="1"/>
  <c r="U16" i="3"/>
  <c r="U28" i="3" s="1"/>
  <c r="O13" i="3"/>
  <c r="O15" i="3" s="1"/>
  <c r="N13" i="3"/>
  <c r="N15" i="3" s="1"/>
  <c r="M13" i="3"/>
  <c r="M15" i="3" s="1"/>
  <c r="L13" i="3"/>
  <c r="L15" i="3" s="1"/>
  <c r="K13" i="3"/>
  <c r="K28" i="3" s="1"/>
  <c r="K30" i="3" s="1"/>
  <c r="K31" i="3" s="1"/>
  <c r="J13" i="3"/>
  <c r="J15" i="3" s="1"/>
  <c r="U12" i="3"/>
  <c r="T12" i="3"/>
  <c r="T16" i="3" s="1"/>
  <c r="U45" i="1"/>
  <c r="T45" i="1"/>
  <c r="U44" i="1"/>
  <c r="T44" i="1"/>
  <c r="U43" i="1"/>
  <c r="T43" i="1"/>
  <c r="U42" i="1"/>
  <c r="T42" i="1"/>
  <c r="R46" i="1"/>
  <c r="U41" i="1"/>
  <c r="T41" i="1"/>
  <c r="T36" i="1"/>
  <c r="U36" i="1" s="1"/>
  <c r="T35" i="1"/>
  <c r="U35" i="1" s="1"/>
  <c r="T34" i="1"/>
  <c r="U34" i="1" s="1"/>
  <c r="T33" i="1"/>
  <c r="U33" i="1" s="1"/>
  <c r="R37" i="1"/>
  <c r="T32" i="1"/>
  <c r="U32" i="1" s="1"/>
  <c r="U20" i="1"/>
  <c r="U23" i="1" s="1"/>
  <c r="U27" i="1" s="1"/>
  <c r="U12" i="1"/>
  <c r="U16" i="1" s="1"/>
  <c r="T20" i="1"/>
  <c r="T23" i="1" s="1"/>
  <c r="T27" i="1" s="1"/>
  <c r="T12" i="1"/>
  <c r="T16" i="1" s="1"/>
  <c r="O54" i="1"/>
  <c r="O55" i="1" s="1"/>
  <c r="N54" i="1"/>
  <c r="N55" i="1" s="1"/>
  <c r="M54" i="1"/>
  <c r="M55" i="1" s="1"/>
  <c r="L54" i="1"/>
  <c r="L55" i="1" s="1"/>
  <c r="K54" i="1"/>
  <c r="K55" i="1" s="1"/>
  <c r="O51" i="1"/>
  <c r="D42" i="1" s="1"/>
  <c r="N51" i="1"/>
  <c r="N52" i="1" s="1"/>
  <c r="M51" i="1"/>
  <c r="M52" i="1" s="1"/>
  <c r="L51" i="1"/>
  <c r="L52" i="1" s="1"/>
  <c r="K51" i="1"/>
  <c r="K52" i="1" s="1"/>
  <c r="J54" i="1"/>
  <c r="J55" i="1" s="1"/>
  <c r="J51" i="1"/>
  <c r="J52" i="1" s="1"/>
  <c r="N13" i="1"/>
  <c r="N15" i="1" s="1"/>
  <c r="N18" i="1" s="1"/>
  <c r="M13" i="1"/>
  <c r="M15" i="1" s="1"/>
  <c r="M18" i="1" s="1"/>
  <c r="L13" i="1"/>
  <c r="L15" i="1" s="1"/>
  <c r="L18" i="1" s="1"/>
  <c r="K13" i="1"/>
  <c r="K15" i="1" s="1"/>
  <c r="K18" i="1" s="1"/>
  <c r="J13" i="1"/>
  <c r="J15" i="1" s="1"/>
  <c r="G49" i="1"/>
  <c r="G27" i="1"/>
  <c r="G26" i="1"/>
  <c r="G25" i="1"/>
  <c r="G24" i="1"/>
  <c r="P64" i="10" l="1"/>
  <c r="U26" i="10"/>
  <c r="L14" i="10"/>
  <c r="P46" i="10"/>
  <c r="P56" i="10"/>
  <c r="P68" i="10" s="1"/>
  <c r="T27" i="11"/>
  <c r="R28" i="11"/>
  <c r="P27" i="11"/>
  <c r="G60" i="11"/>
  <c r="K69" i="11"/>
  <c r="K62" i="11"/>
  <c r="R27" i="11"/>
  <c r="P28" i="11"/>
  <c r="T22" i="11"/>
  <c r="R32" i="11"/>
  <c r="R35" i="11"/>
  <c r="P21" i="11"/>
  <c r="K65" i="11"/>
  <c r="K56" i="11"/>
  <c r="T34" i="11"/>
  <c r="P16" i="11"/>
  <c r="U14" i="10"/>
  <c r="O50" i="10"/>
  <c r="T15" i="11"/>
  <c r="K49" i="11"/>
  <c r="K68" i="11"/>
  <c r="P70" i="10"/>
  <c r="P71" i="10"/>
  <c r="U13" i="10"/>
  <c r="H26" i="11"/>
  <c r="L26" i="11" s="1"/>
  <c r="J26" i="11"/>
  <c r="N26" i="11" s="1"/>
  <c r="P60" i="11"/>
  <c r="D41" i="7"/>
  <c r="T61" i="10" s="1"/>
  <c r="D42" i="7"/>
  <c r="O18" i="7"/>
  <c r="O23" i="7" s="1"/>
  <c r="G59" i="11"/>
  <c r="G62" i="11" s="1"/>
  <c r="P59" i="11"/>
  <c r="O25" i="10"/>
  <c r="H25" i="11"/>
  <c r="H27" i="11" s="1"/>
  <c r="O55" i="7"/>
  <c r="J25" i="11"/>
  <c r="J27" i="11" s="1"/>
  <c r="H20" i="11"/>
  <c r="O20" i="10"/>
  <c r="O22" i="10" s="1"/>
  <c r="P54" i="11"/>
  <c r="G54" i="11"/>
  <c r="G55" i="11" s="1"/>
  <c r="I22" i="10"/>
  <c r="J20" i="11"/>
  <c r="N20" i="11" s="1"/>
  <c r="L20" i="11"/>
  <c r="L21" i="11" s="1"/>
  <c r="D41" i="5"/>
  <c r="T55" i="10" s="1"/>
  <c r="T57" i="10" s="1"/>
  <c r="D42" i="5"/>
  <c r="O19" i="10"/>
  <c r="H19" i="11"/>
  <c r="L19" i="11" s="1"/>
  <c r="J19" i="11"/>
  <c r="J21" i="11" s="1"/>
  <c r="P53" i="11"/>
  <c r="N19" i="11"/>
  <c r="N22" i="11" s="1"/>
  <c r="G21" i="11"/>
  <c r="O52" i="4"/>
  <c r="D41" i="4"/>
  <c r="T50" i="10" s="1"/>
  <c r="D42" i="4"/>
  <c r="L14" i="11"/>
  <c r="G35" i="11"/>
  <c r="J14" i="11"/>
  <c r="N14" i="11" s="1"/>
  <c r="D42" i="3"/>
  <c r="O53" i="3"/>
  <c r="D41" i="3"/>
  <c r="T49" i="10" s="1"/>
  <c r="T52" i="10" s="1"/>
  <c r="J13" i="11"/>
  <c r="H13" i="11"/>
  <c r="P47" i="11"/>
  <c r="G15" i="11"/>
  <c r="G47" i="11"/>
  <c r="O13" i="10"/>
  <c r="O15" i="10" s="1"/>
  <c r="D41" i="1"/>
  <c r="T46" i="10" s="1"/>
  <c r="O53" i="1"/>
  <c r="H10" i="11"/>
  <c r="L10" i="11" s="1"/>
  <c r="O15" i="1"/>
  <c r="F71" i="10"/>
  <c r="Q35" i="10"/>
  <c r="Q70" i="10"/>
  <c r="K21" i="10"/>
  <c r="S52" i="10"/>
  <c r="K35" i="10"/>
  <c r="R71" i="10"/>
  <c r="J34" i="10"/>
  <c r="S71" i="10"/>
  <c r="Q67" i="10"/>
  <c r="P22" i="10"/>
  <c r="U71" i="10"/>
  <c r="V71" i="10"/>
  <c r="R70" i="10"/>
  <c r="J71" i="10"/>
  <c r="F34" i="10"/>
  <c r="U70" i="10"/>
  <c r="K71" i="10"/>
  <c r="J35" i="10"/>
  <c r="K15" i="10"/>
  <c r="K28" i="10"/>
  <c r="K32" i="10"/>
  <c r="F68" i="10"/>
  <c r="Q64" i="10"/>
  <c r="J27" i="10"/>
  <c r="U22" i="10"/>
  <c r="M16" i="10"/>
  <c r="Q21" i="10"/>
  <c r="S68" i="10"/>
  <c r="F27" i="10"/>
  <c r="I15" i="10"/>
  <c r="I16" i="10"/>
  <c r="M27" i="10"/>
  <c r="M22" i="10"/>
  <c r="S58" i="10"/>
  <c r="F63" i="10"/>
  <c r="F15" i="10"/>
  <c r="V15" i="10"/>
  <c r="N22" i="10"/>
  <c r="V28" i="10"/>
  <c r="V27" i="10"/>
  <c r="P21" i="10"/>
  <c r="K31" i="10"/>
  <c r="J51" i="10"/>
  <c r="J63" i="10"/>
  <c r="K51" i="10"/>
  <c r="V58" i="10"/>
  <c r="P32" i="10"/>
  <c r="K27" i="10"/>
  <c r="F16" i="10"/>
  <c r="J16" i="10"/>
  <c r="M21" i="10"/>
  <c r="F58" i="10"/>
  <c r="U58" i="10"/>
  <c r="Q68" i="10"/>
  <c r="F21" i="10"/>
  <c r="K16" i="10"/>
  <c r="N21" i="10"/>
  <c r="J31" i="10"/>
  <c r="M32" i="10"/>
  <c r="P52" i="10"/>
  <c r="S57" i="10"/>
  <c r="R68" i="10"/>
  <c r="N32" i="10"/>
  <c r="R51" i="10"/>
  <c r="K58" i="10"/>
  <c r="Q16" i="10"/>
  <c r="M28" i="10"/>
  <c r="Q31" i="10"/>
  <c r="T51" i="10"/>
  <c r="P63" i="10"/>
  <c r="S64" i="10"/>
  <c r="P15" i="10"/>
  <c r="V21" i="10"/>
  <c r="U51" i="10"/>
  <c r="Q63" i="10"/>
  <c r="J68" i="10"/>
  <c r="J15" i="10"/>
  <c r="V57" i="10"/>
  <c r="F31" i="10"/>
  <c r="N31" i="10"/>
  <c r="Q51" i="10"/>
  <c r="V68" i="10"/>
  <c r="M15" i="10"/>
  <c r="V22" i="10"/>
  <c r="F67" i="10"/>
  <c r="U67" i="10"/>
  <c r="U21" i="10"/>
  <c r="J57" i="10"/>
  <c r="P28" i="10"/>
  <c r="I21" i="10"/>
  <c r="Q28" i="10"/>
  <c r="S63" i="10"/>
  <c r="V16" i="10"/>
  <c r="F52" i="10"/>
  <c r="K52" i="10"/>
  <c r="Q58" i="10"/>
  <c r="J67" i="10"/>
  <c r="P51" i="10"/>
  <c r="R67" i="10"/>
  <c r="P16" i="10"/>
  <c r="J22" i="10"/>
  <c r="V51" i="10"/>
  <c r="R63" i="10"/>
  <c r="U64" i="10"/>
  <c r="K22" i="10"/>
  <c r="N27" i="10"/>
  <c r="V31" i="10"/>
  <c r="K67" i="10"/>
  <c r="N16" i="10"/>
  <c r="J28" i="10"/>
  <c r="U68" i="10"/>
  <c r="Q32" i="10"/>
  <c r="F32" i="10"/>
  <c r="P31" i="10"/>
  <c r="V63" i="10"/>
  <c r="N15" i="10"/>
  <c r="S51" i="10"/>
  <c r="Q15" i="10"/>
  <c r="V32" i="10"/>
  <c r="L22" i="11"/>
  <c r="P31" i="11"/>
  <c r="E31" i="11"/>
  <c r="R15" i="11"/>
  <c r="Q16" i="11"/>
  <c r="G49" i="11"/>
  <c r="E32" i="11"/>
  <c r="S15" i="11"/>
  <c r="R16" i="11"/>
  <c r="F50" i="11"/>
  <c r="J56" i="11"/>
  <c r="H21" i="11"/>
  <c r="G22" i="11"/>
  <c r="F27" i="11"/>
  <c r="V27" i="11"/>
  <c r="U28" i="11"/>
  <c r="T31" i="11"/>
  <c r="S32" i="11"/>
  <c r="R34" i="11"/>
  <c r="Q35" i="11"/>
  <c r="H22" i="11"/>
  <c r="G27" i="11"/>
  <c r="U31" i="11"/>
  <c r="T32" i="11"/>
  <c r="J66" i="11"/>
  <c r="S28" i="11"/>
  <c r="T28" i="11"/>
  <c r="P35" i="11"/>
  <c r="E15" i="11"/>
  <c r="V31" i="11"/>
  <c r="K66" i="11"/>
  <c r="L25" i="11"/>
  <c r="H28" i="11"/>
  <c r="G31" i="11"/>
  <c r="F32" i="11"/>
  <c r="V32" i="11"/>
  <c r="T35" i="11"/>
  <c r="J61" i="11"/>
  <c r="G32" i="11"/>
  <c r="F34" i="11"/>
  <c r="K61" i="11"/>
  <c r="V16" i="11"/>
  <c r="G16" i="11"/>
  <c r="R31" i="11"/>
  <c r="H16" i="11"/>
  <c r="F31" i="11"/>
  <c r="J69" i="11"/>
  <c r="T16" i="11"/>
  <c r="Q31" i="11"/>
  <c r="P34" i="11"/>
  <c r="S31" i="11"/>
  <c r="Q34" i="11"/>
  <c r="F35" i="11"/>
  <c r="E27" i="11"/>
  <c r="F49" i="11"/>
  <c r="K50" i="11"/>
  <c r="S16" i="11"/>
  <c r="U16" i="11"/>
  <c r="P32" i="11"/>
  <c r="Q32" i="11"/>
  <c r="G28" i="11"/>
  <c r="G34" i="11"/>
  <c r="J50" i="11"/>
  <c r="N21" i="11"/>
  <c r="F55" i="11"/>
  <c r="F62" i="11"/>
  <c r="F69" i="11"/>
  <c r="F65" i="11"/>
  <c r="F68" i="11"/>
  <c r="T28" i="4"/>
  <c r="J52" i="4"/>
  <c r="O53" i="4"/>
  <c r="L52" i="4"/>
  <c r="K52" i="4"/>
  <c r="T28" i="8"/>
  <c r="U28" i="8"/>
  <c r="L52" i="8"/>
  <c r="O53" i="8"/>
  <c r="U28" i="7"/>
  <c r="T28" i="7"/>
  <c r="J52" i="7"/>
  <c r="L53" i="7"/>
  <c r="K52" i="7"/>
  <c r="O32" i="7"/>
  <c r="O35" i="7" s="1"/>
  <c r="O36" i="7" s="1"/>
  <c r="O22" i="7"/>
  <c r="N40" i="7"/>
  <c r="N44" i="7" s="1"/>
  <c r="N25" i="7"/>
  <c r="M18" i="7"/>
  <c r="M22" i="7" s="1"/>
  <c r="M25" i="7" s="1"/>
  <c r="M36" i="7"/>
  <c r="U28" i="6"/>
  <c r="T28" i="6"/>
  <c r="K53" i="6"/>
  <c r="L53" i="6"/>
  <c r="J52" i="6"/>
  <c r="N18" i="6"/>
  <c r="N22" i="6" s="1"/>
  <c r="N40" i="6" s="1"/>
  <c r="N44" i="6" s="1"/>
  <c r="N46" i="6" s="1"/>
  <c r="M36" i="6"/>
  <c r="O32" i="6"/>
  <c r="O35" i="6" s="1"/>
  <c r="O22" i="6"/>
  <c r="M18" i="6"/>
  <c r="M22" i="6" s="1"/>
  <c r="M25" i="6" s="1"/>
  <c r="K52" i="5"/>
  <c r="J52" i="5"/>
  <c r="O53" i="5"/>
  <c r="L52" i="5"/>
  <c r="T28" i="3"/>
  <c r="K52" i="3"/>
  <c r="T28" i="1"/>
  <c r="O18" i="8"/>
  <c r="O32" i="8"/>
  <c r="O35" i="8" s="1"/>
  <c r="J32" i="8"/>
  <c r="J35" i="8" s="1"/>
  <c r="J18" i="8"/>
  <c r="K32" i="8"/>
  <c r="K35" i="8" s="1"/>
  <c r="K18" i="8"/>
  <c r="L32" i="8"/>
  <c r="L35" i="8" s="1"/>
  <c r="L18" i="8"/>
  <c r="N32" i="8"/>
  <c r="N35" i="8" s="1"/>
  <c r="N18" i="8"/>
  <c r="U32" i="8"/>
  <c r="U37" i="8" s="1"/>
  <c r="U52" i="8" s="1"/>
  <c r="U53" i="8" s="1"/>
  <c r="U55" i="8" s="1"/>
  <c r="G22" i="8" s="1"/>
  <c r="G23" i="8" s="1"/>
  <c r="K28" i="8"/>
  <c r="K30" i="8" s="1"/>
  <c r="K31" i="8" s="1"/>
  <c r="L28" i="8"/>
  <c r="L30" i="8" s="1"/>
  <c r="L31" i="8" s="1"/>
  <c r="N28" i="8"/>
  <c r="N30" i="8" s="1"/>
  <c r="N31" i="8" s="1"/>
  <c r="O28" i="8"/>
  <c r="O30" i="8" s="1"/>
  <c r="O31" i="8" s="1"/>
  <c r="M15" i="8"/>
  <c r="J28" i="8"/>
  <c r="J30" i="8" s="1"/>
  <c r="J31" i="8" s="1"/>
  <c r="M52" i="8"/>
  <c r="N52" i="8"/>
  <c r="U32" i="7"/>
  <c r="U37" i="7" s="1"/>
  <c r="U52" i="7" s="1"/>
  <c r="U53" i="7" s="1"/>
  <c r="U55" i="7" s="1"/>
  <c r="G22" i="7" s="1"/>
  <c r="G23" i="7" s="1"/>
  <c r="G28" i="7" s="1"/>
  <c r="J15" i="7"/>
  <c r="J28" i="7"/>
  <c r="J30" i="7" s="1"/>
  <c r="J31" i="7" s="1"/>
  <c r="O53" i="7"/>
  <c r="K15" i="7"/>
  <c r="K28" i="7"/>
  <c r="K30" i="7" s="1"/>
  <c r="K31" i="7" s="1"/>
  <c r="N36" i="7"/>
  <c r="N23" i="7"/>
  <c r="U46" i="7"/>
  <c r="U54" i="7" s="1"/>
  <c r="L15" i="7"/>
  <c r="L28" i="7"/>
  <c r="L30" i="7" s="1"/>
  <c r="L31" i="7" s="1"/>
  <c r="M53" i="7"/>
  <c r="M52" i="7"/>
  <c r="N53" i="7"/>
  <c r="N52" i="7"/>
  <c r="M28" i="7"/>
  <c r="M30" i="7" s="1"/>
  <c r="M31" i="7" s="1"/>
  <c r="N28" i="7"/>
  <c r="N30" i="7" s="1"/>
  <c r="N31" i="7" s="1"/>
  <c r="O28" i="7"/>
  <c r="O30" i="7" s="1"/>
  <c r="O31" i="7" s="1"/>
  <c r="U32" i="6"/>
  <c r="U37" i="6" s="1"/>
  <c r="U52" i="6" s="1"/>
  <c r="U53" i="6" s="1"/>
  <c r="U55" i="6" s="1"/>
  <c r="G22" i="6" s="1"/>
  <c r="G23" i="6" s="1"/>
  <c r="G28" i="6" s="1"/>
  <c r="O53" i="6"/>
  <c r="L15" i="6"/>
  <c r="L28" i="6"/>
  <c r="L30" i="6" s="1"/>
  <c r="L31" i="6" s="1"/>
  <c r="J15" i="6"/>
  <c r="J28" i="6"/>
  <c r="J30" i="6" s="1"/>
  <c r="J31" i="6" s="1"/>
  <c r="K15" i="6"/>
  <c r="K28" i="6"/>
  <c r="K30" i="6" s="1"/>
  <c r="K31" i="6" s="1"/>
  <c r="U46" i="6"/>
  <c r="U54" i="6" s="1"/>
  <c r="N36" i="6"/>
  <c r="M53" i="6"/>
  <c r="M52" i="6"/>
  <c r="N53" i="6"/>
  <c r="N52" i="6"/>
  <c r="M28" i="6"/>
  <c r="M30" i="6" s="1"/>
  <c r="M31" i="6" s="1"/>
  <c r="N28" i="6"/>
  <c r="N30" i="6" s="1"/>
  <c r="N31" i="6" s="1"/>
  <c r="O28" i="6"/>
  <c r="O30" i="6" s="1"/>
  <c r="O31" i="6" s="1"/>
  <c r="O18" i="5"/>
  <c r="O32" i="5"/>
  <c r="O35" i="5" s="1"/>
  <c r="M32" i="5"/>
  <c r="M35" i="5" s="1"/>
  <c r="M18" i="5"/>
  <c r="N18" i="5"/>
  <c r="N32" i="5"/>
  <c r="N35" i="5" s="1"/>
  <c r="J32" i="5"/>
  <c r="J35" i="5" s="1"/>
  <c r="J18" i="5"/>
  <c r="K32" i="5"/>
  <c r="K35" i="5" s="1"/>
  <c r="K18" i="5"/>
  <c r="L32" i="5"/>
  <c r="L35" i="5" s="1"/>
  <c r="L18" i="5"/>
  <c r="U32" i="5"/>
  <c r="U37" i="5" s="1"/>
  <c r="U52" i="5" s="1"/>
  <c r="U53" i="5" s="1"/>
  <c r="U55" i="5" s="1"/>
  <c r="G22" i="5" s="1"/>
  <c r="G23" i="5" s="1"/>
  <c r="G28" i="5" s="1"/>
  <c r="J28" i="5"/>
  <c r="J30" i="5" s="1"/>
  <c r="J31" i="5" s="1"/>
  <c r="K28" i="5"/>
  <c r="K30" i="5" s="1"/>
  <c r="K31" i="5" s="1"/>
  <c r="L28" i="5"/>
  <c r="L30" i="5" s="1"/>
  <c r="L31" i="5" s="1"/>
  <c r="M28" i="5"/>
  <c r="M30" i="5" s="1"/>
  <c r="M31" i="5" s="1"/>
  <c r="N28" i="5"/>
  <c r="N30" i="5" s="1"/>
  <c r="N31" i="5" s="1"/>
  <c r="O28" i="5"/>
  <c r="O30" i="5" s="1"/>
  <c r="O31" i="5" s="1"/>
  <c r="M52" i="5"/>
  <c r="N52" i="5"/>
  <c r="O32" i="4"/>
  <c r="O35" i="4" s="1"/>
  <c r="O18" i="4"/>
  <c r="J32" i="4"/>
  <c r="J35" i="4" s="1"/>
  <c r="J18" i="4"/>
  <c r="L18" i="4"/>
  <c r="L32" i="4"/>
  <c r="L35" i="4" s="1"/>
  <c r="N18" i="4"/>
  <c r="N32" i="4"/>
  <c r="N35" i="4" s="1"/>
  <c r="K15" i="4"/>
  <c r="N28" i="4"/>
  <c r="N30" i="4" s="1"/>
  <c r="N31" i="4" s="1"/>
  <c r="M15" i="4"/>
  <c r="J28" i="4"/>
  <c r="J30" i="4" s="1"/>
  <c r="J31" i="4" s="1"/>
  <c r="M52" i="4"/>
  <c r="L28" i="4"/>
  <c r="L30" i="4" s="1"/>
  <c r="L31" i="4" s="1"/>
  <c r="T37" i="4"/>
  <c r="U51" i="4" s="1"/>
  <c r="U53" i="4" s="1"/>
  <c r="U55" i="4" s="1"/>
  <c r="G22" i="4" s="1"/>
  <c r="G23" i="4" s="1"/>
  <c r="G28" i="4" s="1"/>
  <c r="N52" i="4"/>
  <c r="O28" i="4"/>
  <c r="O30" i="4" s="1"/>
  <c r="O31" i="4" s="1"/>
  <c r="N32" i="3"/>
  <c r="N35" i="3" s="1"/>
  <c r="N18" i="3"/>
  <c r="O18" i="3"/>
  <c r="O32" i="3"/>
  <c r="O35" i="3" s="1"/>
  <c r="U53" i="3"/>
  <c r="U55" i="3" s="1"/>
  <c r="G22" i="3" s="1"/>
  <c r="G23" i="3" s="1"/>
  <c r="G28" i="3" s="1"/>
  <c r="J18" i="3"/>
  <c r="J32" i="3"/>
  <c r="J35" i="3" s="1"/>
  <c r="L32" i="3"/>
  <c r="L35" i="3" s="1"/>
  <c r="L18" i="3"/>
  <c r="M32" i="3"/>
  <c r="M35" i="3" s="1"/>
  <c r="M18" i="3"/>
  <c r="J28" i="3"/>
  <c r="J30" i="3" s="1"/>
  <c r="J31" i="3" s="1"/>
  <c r="L28" i="3"/>
  <c r="L30" i="3" s="1"/>
  <c r="L31" i="3" s="1"/>
  <c r="M28" i="3"/>
  <c r="M30" i="3" s="1"/>
  <c r="M31" i="3" s="1"/>
  <c r="O28" i="3"/>
  <c r="O30" i="3" s="1"/>
  <c r="O31" i="3" s="1"/>
  <c r="U32" i="3"/>
  <c r="U37" i="3" s="1"/>
  <c r="U52" i="3" s="1"/>
  <c r="M52" i="3"/>
  <c r="N52" i="3"/>
  <c r="K15" i="3"/>
  <c r="N28" i="3"/>
  <c r="N30" i="3" s="1"/>
  <c r="N31" i="3" s="1"/>
  <c r="U28" i="1"/>
  <c r="J28" i="1"/>
  <c r="J30" i="1" s="1"/>
  <c r="J31" i="1" s="1"/>
  <c r="U37" i="1"/>
  <c r="U52" i="1" s="1"/>
  <c r="L28" i="1"/>
  <c r="L30" i="1" s="1"/>
  <c r="L31" i="1" s="1"/>
  <c r="N28" i="1"/>
  <c r="N30" i="1" s="1"/>
  <c r="N31" i="1" s="1"/>
  <c r="L32" i="1"/>
  <c r="L35" i="1" s="1"/>
  <c r="L36" i="1" s="1"/>
  <c r="K32" i="1"/>
  <c r="K35" i="1" s="1"/>
  <c r="K36" i="1" s="1"/>
  <c r="M32" i="1"/>
  <c r="M35" i="1" s="1"/>
  <c r="M38" i="1" s="1"/>
  <c r="M39" i="1" s="1"/>
  <c r="N32" i="1"/>
  <c r="N35" i="1" s="1"/>
  <c r="N38" i="1" s="1"/>
  <c r="N39" i="1" s="1"/>
  <c r="J18" i="1"/>
  <c r="J32" i="1"/>
  <c r="J35" i="1" s="1"/>
  <c r="J53" i="1"/>
  <c r="O52" i="1"/>
  <c r="K53" i="1"/>
  <c r="L53" i="1"/>
  <c r="K28" i="1"/>
  <c r="K30" i="1" s="1"/>
  <c r="K31" i="1" s="1"/>
  <c r="M53" i="1"/>
  <c r="T37" i="1"/>
  <c r="U51" i="1" s="1"/>
  <c r="U46" i="1"/>
  <c r="U54" i="1" s="1"/>
  <c r="O28" i="1"/>
  <c r="O30" i="1" s="1"/>
  <c r="O31" i="1" s="1"/>
  <c r="N53" i="1"/>
  <c r="M28" i="1"/>
  <c r="M30" i="1" s="1"/>
  <c r="M31" i="1" s="1"/>
  <c r="K23" i="1"/>
  <c r="K22" i="1"/>
  <c r="L23" i="1"/>
  <c r="L22" i="1"/>
  <c r="M23" i="1"/>
  <c r="M22" i="1"/>
  <c r="N23" i="1"/>
  <c r="N22" i="1"/>
  <c r="P58" i="10" l="1"/>
  <c r="U35" i="10"/>
  <c r="U27" i="10"/>
  <c r="U28" i="10"/>
  <c r="U34" i="10"/>
  <c r="P57" i="10"/>
  <c r="P67" i="10"/>
  <c r="U32" i="10"/>
  <c r="U16" i="10"/>
  <c r="U31" i="10"/>
  <c r="U15" i="10"/>
  <c r="O21" i="10"/>
  <c r="J28" i="11"/>
  <c r="O38" i="7"/>
  <c r="N25" i="11"/>
  <c r="N28" i="11" s="1"/>
  <c r="N27" i="11"/>
  <c r="H35" i="11"/>
  <c r="P62" i="11"/>
  <c r="P61" i="11"/>
  <c r="G61" i="11"/>
  <c r="K25" i="11"/>
  <c r="I59" i="11"/>
  <c r="H59" i="11"/>
  <c r="G56" i="11"/>
  <c r="G65" i="11"/>
  <c r="G68" i="11"/>
  <c r="G66" i="11"/>
  <c r="P68" i="11"/>
  <c r="I54" i="11"/>
  <c r="H54" i="11"/>
  <c r="K20" i="11"/>
  <c r="O20" i="11" s="1"/>
  <c r="T58" i="10"/>
  <c r="J22" i="11"/>
  <c r="H34" i="11"/>
  <c r="P55" i="11"/>
  <c r="P56" i="11"/>
  <c r="J32" i="11"/>
  <c r="J34" i="11"/>
  <c r="G69" i="11"/>
  <c r="P49" i="11"/>
  <c r="L13" i="11"/>
  <c r="L34" i="11" s="1"/>
  <c r="H15" i="11"/>
  <c r="H31" i="11"/>
  <c r="J35" i="11"/>
  <c r="H32" i="11"/>
  <c r="N13" i="11"/>
  <c r="N16" i="11" s="1"/>
  <c r="J31" i="11"/>
  <c r="G50" i="11"/>
  <c r="J16" i="11"/>
  <c r="J15" i="11"/>
  <c r="P66" i="11"/>
  <c r="P65" i="11"/>
  <c r="P69" i="11"/>
  <c r="P50" i="11"/>
  <c r="O16" i="10"/>
  <c r="O18" i="1"/>
  <c r="J10" i="11"/>
  <c r="N10" i="11" s="1"/>
  <c r="P44" i="11"/>
  <c r="O10" i="10"/>
  <c r="O32" i="1"/>
  <c r="O35" i="1" s="1"/>
  <c r="O36" i="1" s="1"/>
  <c r="G44" i="11"/>
  <c r="L28" i="11"/>
  <c r="L27" i="11"/>
  <c r="L15" i="11"/>
  <c r="L16" i="11"/>
  <c r="L32" i="11"/>
  <c r="L31" i="11"/>
  <c r="L35" i="11"/>
  <c r="N32" i="11"/>
  <c r="N15" i="11"/>
  <c r="G28" i="8"/>
  <c r="D41" i="8"/>
  <c r="T62" i="10" s="1"/>
  <c r="T64" i="10" s="1"/>
  <c r="O40" i="7"/>
  <c r="O44" i="7" s="1"/>
  <c r="O25" i="7"/>
  <c r="N46" i="7"/>
  <c r="N45" i="7"/>
  <c r="M40" i="7"/>
  <c r="M44" i="7" s="1"/>
  <c r="M23" i="7"/>
  <c r="M40" i="6"/>
  <c r="M44" i="6" s="1"/>
  <c r="N23" i="6"/>
  <c r="N45" i="6"/>
  <c r="N25" i="6"/>
  <c r="M23" i="6"/>
  <c r="O40" i="6"/>
  <c r="O44" i="6" s="1"/>
  <c r="O25" i="6"/>
  <c r="O36" i="6"/>
  <c r="O38" i="6"/>
  <c r="N22" i="8"/>
  <c r="N23" i="8"/>
  <c r="L23" i="8"/>
  <c r="G15" i="8" s="1"/>
  <c r="L22" i="8"/>
  <c r="K22" i="8"/>
  <c r="K23" i="8"/>
  <c r="J22" i="8"/>
  <c r="J23" i="8"/>
  <c r="O36" i="8"/>
  <c r="O38" i="8"/>
  <c r="N38" i="8"/>
  <c r="N39" i="8" s="1"/>
  <c r="N36" i="8"/>
  <c r="L38" i="8"/>
  <c r="L39" i="8" s="1"/>
  <c r="L36" i="8"/>
  <c r="K38" i="8"/>
  <c r="K39" i="8" s="1"/>
  <c r="K36" i="8"/>
  <c r="J38" i="8"/>
  <c r="J39" i="8" s="1"/>
  <c r="J36" i="8"/>
  <c r="M32" i="8"/>
  <c r="M35" i="8" s="1"/>
  <c r="M18" i="8"/>
  <c r="O23" i="8"/>
  <c r="O22" i="8"/>
  <c r="L32" i="7"/>
  <c r="L35" i="7" s="1"/>
  <c r="L18" i="7"/>
  <c r="K32" i="7"/>
  <c r="K35" i="7" s="1"/>
  <c r="K18" i="7"/>
  <c r="J32" i="7"/>
  <c r="J35" i="7" s="1"/>
  <c r="J18" i="7"/>
  <c r="M45" i="7"/>
  <c r="M46" i="7"/>
  <c r="L32" i="6"/>
  <c r="L35" i="6" s="1"/>
  <c r="L18" i="6"/>
  <c r="K32" i="6"/>
  <c r="K35" i="6" s="1"/>
  <c r="K18" i="6"/>
  <c r="J32" i="6"/>
  <c r="J35" i="6" s="1"/>
  <c r="J18" i="6"/>
  <c r="M45" i="6"/>
  <c r="M46" i="6"/>
  <c r="K23" i="5"/>
  <c r="K22" i="5"/>
  <c r="L38" i="5"/>
  <c r="L39" i="5" s="1"/>
  <c r="L36" i="5"/>
  <c r="J22" i="5"/>
  <c r="J23" i="5"/>
  <c r="N38" i="5"/>
  <c r="N39" i="5" s="1"/>
  <c r="N36" i="5"/>
  <c r="K38" i="5"/>
  <c r="K39" i="5" s="1"/>
  <c r="K36" i="5"/>
  <c r="J38" i="5"/>
  <c r="J39" i="5" s="1"/>
  <c r="J36" i="5"/>
  <c r="N22" i="5"/>
  <c r="N23" i="5"/>
  <c r="L22" i="5"/>
  <c r="L23" i="5"/>
  <c r="G15" i="5" s="1"/>
  <c r="M22" i="5"/>
  <c r="M23" i="5"/>
  <c r="M38" i="5"/>
  <c r="M39" i="5" s="1"/>
  <c r="M36" i="5"/>
  <c r="O36" i="5"/>
  <c r="O38" i="5"/>
  <c r="O23" i="5"/>
  <c r="O22" i="5"/>
  <c r="M32" i="4"/>
  <c r="M35" i="4" s="1"/>
  <c r="M18" i="4"/>
  <c r="K32" i="4"/>
  <c r="K35" i="4" s="1"/>
  <c r="K18" i="4"/>
  <c r="N38" i="4"/>
  <c r="N39" i="4" s="1"/>
  <c r="N36" i="4"/>
  <c r="N22" i="4"/>
  <c r="N23" i="4"/>
  <c r="L38" i="4"/>
  <c r="L39" i="4" s="1"/>
  <c r="L36" i="4"/>
  <c r="L22" i="4"/>
  <c r="L23" i="4"/>
  <c r="J22" i="4"/>
  <c r="J23" i="4"/>
  <c r="J36" i="4"/>
  <c r="J38" i="4"/>
  <c r="J39" i="4" s="1"/>
  <c r="O22" i="4"/>
  <c r="O23" i="4"/>
  <c r="O36" i="4"/>
  <c r="O38" i="4"/>
  <c r="L38" i="3"/>
  <c r="L39" i="3" s="1"/>
  <c r="L36" i="3"/>
  <c r="K32" i="3"/>
  <c r="K35" i="3" s="1"/>
  <c r="K18" i="3"/>
  <c r="M38" i="3"/>
  <c r="M39" i="3" s="1"/>
  <c r="M36" i="3"/>
  <c r="J36" i="3"/>
  <c r="J38" i="3"/>
  <c r="J39" i="3" s="1"/>
  <c r="O36" i="3"/>
  <c r="O38" i="3"/>
  <c r="O23" i="3"/>
  <c r="O22" i="3"/>
  <c r="N22" i="3"/>
  <c r="N23" i="3"/>
  <c r="N38" i="3"/>
  <c r="N39" i="3" s="1"/>
  <c r="N36" i="3"/>
  <c r="M22" i="3"/>
  <c r="M23" i="3"/>
  <c r="L23" i="3"/>
  <c r="G15" i="3" s="1"/>
  <c r="L22" i="3"/>
  <c r="J23" i="3"/>
  <c r="J22" i="3"/>
  <c r="M36" i="1"/>
  <c r="N36" i="1"/>
  <c r="L38" i="1"/>
  <c r="L39" i="1" s="1"/>
  <c r="K38" i="1"/>
  <c r="K39" i="1" s="1"/>
  <c r="U53" i="1"/>
  <c r="U55" i="1" s="1"/>
  <c r="G22" i="1" s="1"/>
  <c r="G23" i="1" s="1"/>
  <c r="G28" i="1" s="1"/>
  <c r="N25" i="1"/>
  <c r="N40" i="1"/>
  <c r="N44" i="1" s="1"/>
  <c r="M25" i="1"/>
  <c r="M40" i="1"/>
  <c r="M44" i="1" s="1"/>
  <c r="L25" i="1"/>
  <c r="L40" i="1"/>
  <c r="L44" i="1" s="1"/>
  <c r="J38" i="1"/>
  <c r="J39" i="1" s="1"/>
  <c r="J36" i="1"/>
  <c r="K25" i="1"/>
  <c r="K40" i="1"/>
  <c r="K44" i="1" s="1"/>
  <c r="J23" i="1"/>
  <c r="J22" i="1"/>
  <c r="T68" i="10" l="1"/>
  <c r="T70" i="10"/>
  <c r="T71" i="10"/>
  <c r="T67" i="10"/>
  <c r="T63" i="10"/>
  <c r="O39" i="8"/>
  <c r="S26" i="10"/>
  <c r="O60" i="11"/>
  <c r="M62" i="10"/>
  <c r="R26" i="10"/>
  <c r="I26" i="11"/>
  <c r="M26" i="11" s="1"/>
  <c r="N62" i="10"/>
  <c r="N64" i="10" s="1"/>
  <c r="M61" i="11"/>
  <c r="D36" i="8"/>
  <c r="N60" i="11"/>
  <c r="N61" i="11" s="1"/>
  <c r="I60" i="11"/>
  <c r="I62" i="11" s="1"/>
  <c r="H60" i="11"/>
  <c r="H62" i="11" s="1"/>
  <c r="K26" i="11"/>
  <c r="O26" i="11" s="1"/>
  <c r="O59" i="11"/>
  <c r="M61" i="10"/>
  <c r="N59" i="11"/>
  <c r="N61" i="10"/>
  <c r="N31" i="11"/>
  <c r="I61" i="10"/>
  <c r="N34" i="11"/>
  <c r="D36" i="7"/>
  <c r="I25" i="11"/>
  <c r="M25" i="11" s="1"/>
  <c r="R25" i="10"/>
  <c r="N35" i="11"/>
  <c r="S25" i="10"/>
  <c r="L62" i="11"/>
  <c r="O39" i="7"/>
  <c r="M63" i="10"/>
  <c r="M64" i="10"/>
  <c r="O25" i="11"/>
  <c r="O39" i="6"/>
  <c r="O54" i="11"/>
  <c r="N54" i="11"/>
  <c r="I20" i="11"/>
  <c r="M20" i="11" s="1"/>
  <c r="S20" i="10"/>
  <c r="N56" i="10"/>
  <c r="M56" i="10"/>
  <c r="R20" i="10"/>
  <c r="D36" i="6"/>
  <c r="O39" i="5"/>
  <c r="D36" i="5"/>
  <c r="N55" i="10"/>
  <c r="I19" i="11"/>
  <c r="O53" i="11"/>
  <c r="S19" i="10"/>
  <c r="R19" i="10"/>
  <c r="N53" i="11"/>
  <c r="M55" i="10"/>
  <c r="K19" i="11"/>
  <c r="I53" i="11"/>
  <c r="H53" i="11"/>
  <c r="K14" i="11"/>
  <c r="O14" i="11" s="1"/>
  <c r="I48" i="11"/>
  <c r="H48" i="11"/>
  <c r="O39" i="4"/>
  <c r="R14" i="10"/>
  <c r="D36" i="4"/>
  <c r="N50" i="10"/>
  <c r="M50" i="10"/>
  <c r="I14" i="11"/>
  <c r="M14" i="11" s="1"/>
  <c r="S14" i="10"/>
  <c r="O48" i="11"/>
  <c r="N48" i="11"/>
  <c r="K13" i="11"/>
  <c r="I47" i="11"/>
  <c r="H47" i="11"/>
  <c r="O39" i="3"/>
  <c r="N47" i="11"/>
  <c r="I13" i="11"/>
  <c r="N49" i="10"/>
  <c r="S13" i="10"/>
  <c r="D36" i="3"/>
  <c r="O47" i="11"/>
  <c r="M49" i="10"/>
  <c r="R13" i="10"/>
  <c r="O38" i="1"/>
  <c r="R10" i="10" s="1"/>
  <c r="O23" i="1"/>
  <c r="O22" i="1"/>
  <c r="E33" i="8"/>
  <c r="O26" i="10"/>
  <c r="D33" i="8"/>
  <c r="I26" i="10" s="1"/>
  <c r="O46" i="7"/>
  <c r="O45" i="7"/>
  <c r="O46" i="6"/>
  <c r="O45" i="6"/>
  <c r="J25" i="8"/>
  <c r="J40" i="8"/>
  <c r="J44" i="8" s="1"/>
  <c r="O40" i="8"/>
  <c r="O44" i="8" s="1"/>
  <c r="O25" i="8"/>
  <c r="K25" i="8"/>
  <c r="K40" i="8"/>
  <c r="K44" i="8" s="1"/>
  <c r="M22" i="8"/>
  <c r="M23" i="8"/>
  <c r="L25" i="8"/>
  <c r="L40" i="8"/>
  <c r="L44" i="8" s="1"/>
  <c r="M38" i="8"/>
  <c r="M39" i="8" s="1"/>
  <c r="M36" i="8"/>
  <c r="N40" i="8"/>
  <c r="N44" i="8" s="1"/>
  <c r="N25" i="8"/>
  <c r="J22" i="7"/>
  <c r="J23" i="7"/>
  <c r="J38" i="7"/>
  <c r="J39" i="7" s="1"/>
  <c r="J36" i="7"/>
  <c r="K22" i="7"/>
  <c r="K23" i="7"/>
  <c r="K38" i="7"/>
  <c r="K39" i="7" s="1"/>
  <c r="K36" i="7"/>
  <c r="L22" i="7"/>
  <c r="L23" i="7"/>
  <c r="G15" i="7" s="1"/>
  <c r="L38" i="7"/>
  <c r="L39" i="7" s="1"/>
  <c r="L36" i="7"/>
  <c r="J22" i="6"/>
  <c r="J23" i="6"/>
  <c r="J38" i="6"/>
  <c r="J39" i="6" s="1"/>
  <c r="J36" i="6"/>
  <c r="K22" i="6"/>
  <c r="K23" i="6"/>
  <c r="K38" i="6"/>
  <c r="K39" i="6" s="1"/>
  <c r="K36" i="6"/>
  <c r="L22" i="6"/>
  <c r="L23" i="6"/>
  <c r="G15" i="6" s="1"/>
  <c r="L38" i="6"/>
  <c r="L39" i="6" s="1"/>
  <c r="L36" i="6"/>
  <c r="L40" i="5"/>
  <c r="L44" i="5" s="1"/>
  <c r="L25" i="5"/>
  <c r="N25" i="5"/>
  <c r="N40" i="5"/>
  <c r="N44" i="5" s="1"/>
  <c r="O40" i="5"/>
  <c r="O44" i="5" s="1"/>
  <c r="O25" i="5"/>
  <c r="J40" i="5"/>
  <c r="J44" i="5" s="1"/>
  <c r="J25" i="5"/>
  <c r="K40" i="5"/>
  <c r="K44" i="5" s="1"/>
  <c r="K25" i="5"/>
  <c r="M25" i="5"/>
  <c r="M40" i="5"/>
  <c r="M44" i="5" s="1"/>
  <c r="L25" i="4"/>
  <c r="L40" i="4"/>
  <c r="L44" i="4" s="1"/>
  <c r="J25" i="4"/>
  <c r="J40" i="4"/>
  <c r="J44" i="4" s="1"/>
  <c r="N40" i="4"/>
  <c r="N44" i="4" s="1"/>
  <c r="N25" i="4"/>
  <c r="K22" i="4"/>
  <c r="K23" i="4"/>
  <c r="K38" i="4"/>
  <c r="K39" i="4" s="1"/>
  <c r="K36" i="4"/>
  <c r="M22" i="4"/>
  <c r="M23" i="4"/>
  <c r="O40" i="4"/>
  <c r="O44" i="4" s="1"/>
  <c r="O25" i="4"/>
  <c r="M36" i="4"/>
  <c r="M38" i="4"/>
  <c r="M39" i="4" s="1"/>
  <c r="L25" i="3"/>
  <c r="L40" i="3"/>
  <c r="L44" i="3" s="1"/>
  <c r="K38" i="3"/>
  <c r="K39" i="3" s="1"/>
  <c r="K36" i="3"/>
  <c r="N25" i="3"/>
  <c r="N40" i="3"/>
  <c r="N44" i="3" s="1"/>
  <c r="K23" i="3"/>
  <c r="K22" i="3"/>
  <c r="M25" i="3"/>
  <c r="M40" i="3"/>
  <c r="M44" i="3" s="1"/>
  <c r="O25" i="3"/>
  <c r="O40" i="3"/>
  <c r="O44" i="3" s="1"/>
  <c r="J25" i="3"/>
  <c r="J40" i="3"/>
  <c r="J44" i="3" s="1"/>
  <c r="M45" i="1"/>
  <c r="M46" i="1"/>
  <c r="J40" i="1"/>
  <c r="J44" i="1" s="1"/>
  <c r="J25" i="1"/>
  <c r="K46" i="1"/>
  <c r="K45" i="1"/>
  <c r="L46" i="1"/>
  <c r="L45" i="1"/>
  <c r="N46" i="1"/>
  <c r="N45" i="1"/>
  <c r="S28" i="10" l="1"/>
  <c r="N62" i="11"/>
  <c r="M62" i="11"/>
  <c r="R27" i="10"/>
  <c r="I28" i="10"/>
  <c r="I35" i="10"/>
  <c r="I31" i="10"/>
  <c r="I27" i="10"/>
  <c r="I34" i="10"/>
  <c r="I32" i="10"/>
  <c r="H61" i="11"/>
  <c r="N63" i="10"/>
  <c r="O61" i="11"/>
  <c r="I62" i="10"/>
  <c r="I63" i="10" s="1"/>
  <c r="L26" i="10"/>
  <c r="K27" i="11"/>
  <c r="K28" i="11"/>
  <c r="O27" i="10"/>
  <c r="O32" i="10"/>
  <c r="O28" i="10"/>
  <c r="O34" i="10"/>
  <c r="O31" i="10"/>
  <c r="O35" i="10"/>
  <c r="I61" i="11"/>
  <c r="O62" i="11"/>
  <c r="L61" i="11"/>
  <c r="I27" i="11"/>
  <c r="L25" i="10"/>
  <c r="S27" i="10"/>
  <c r="R28" i="10"/>
  <c r="I28" i="11"/>
  <c r="D23" i="12"/>
  <c r="M27" i="11"/>
  <c r="M28" i="11"/>
  <c r="T25" i="10"/>
  <c r="O61" i="10"/>
  <c r="O28" i="11"/>
  <c r="O27" i="11"/>
  <c r="I56" i="10"/>
  <c r="L20" i="10"/>
  <c r="O56" i="10"/>
  <c r="T20" i="10"/>
  <c r="H56" i="11"/>
  <c r="H55" i="11"/>
  <c r="I55" i="11"/>
  <c r="I56" i="11"/>
  <c r="O19" i="11"/>
  <c r="K22" i="11"/>
  <c r="K21" i="11"/>
  <c r="M57" i="10"/>
  <c r="M58" i="10"/>
  <c r="L55" i="11"/>
  <c r="L56" i="11"/>
  <c r="M55" i="11"/>
  <c r="M56" i="11"/>
  <c r="N56" i="11"/>
  <c r="N55" i="11"/>
  <c r="R22" i="10"/>
  <c r="R21" i="10"/>
  <c r="S21" i="10"/>
  <c r="S22" i="10"/>
  <c r="D22" i="12"/>
  <c r="I55" i="10"/>
  <c r="L19" i="10"/>
  <c r="O55" i="11"/>
  <c r="O56" i="11"/>
  <c r="I22" i="11"/>
  <c r="M19" i="11"/>
  <c r="I21" i="11"/>
  <c r="N57" i="10"/>
  <c r="N58" i="10"/>
  <c r="O66" i="11"/>
  <c r="O50" i="11"/>
  <c r="O69" i="11"/>
  <c r="O65" i="11"/>
  <c r="O49" i="11"/>
  <c r="O68" i="11"/>
  <c r="R15" i="10"/>
  <c r="R32" i="10"/>
  <c r="R35" i="10"/>
  <c r="R34" i="10"/>
  <c r="R31" i="10"/>
  <c r="R16" i="10"/>
  <c r="N52" i="10"/>
  <c r="N70" i="10"/>
  <c r="N51" i="10"/>
  <c r="N67" i="10"/>
  <c r="N71" i="10"/>
  <c r="N68" i="10"/>
  <c r="L69" i="11"/>
  <c r="L68" i="11"/>
  <c r="L49" i="11"/>
  <c r="L50" i="11"/>
  <c r="L65" i="11"/>
  <c r="L66" i="11"/>
  <c r="H65" i="11"/>
  <c r="H50" i="11"/>
  <c r="H69" i="11"/>
  <c r="H49" i="11"/>
  <c r="H66" i="11"/>
  <c r="H68" i="11"/>
  <c r="M66" i="11"/>
  <c r="M65" i="11"/>
  <c r="M50" i="11"/>
  <c r="M69" i="11"/>
  <c r="M49" i="11"/>
  <c r="M68" i="11"/>
  <c r="I49" i="10"/>
  <c r="D21" i="12"/>
  <c r="L13" i="10"/>
  <c r="D25" i="12"/>
  <c r="D30" i="12" s="1"/>
  <c r="M67" i="10"/>
  <c r="M70" i="10"/>
  <c r="M71" i="10"/>
  <c r="M68" i="10"/>
  <c r="M52" i="10"/>
  <c r="M51" i="10"/>
  <c r="S34" i="10"/>
  <c r="S35" i="10"/>
  <c r="S16" i="10"/>
  <c r="S15" i="10"/>
  <c r="S31" i="10"/>
  <c r="S32" i="10"/>
  <c r="I34" i="11"/>
  <c r="I15" i="11"/>
  <c r="I16" i="11"/>
  <c r="M13" i="11"/>
  <c r="I32" i="11"/>
  <c r="I35" i="11"/>
  <c r="I31" i="11"/>
  <c r="N68" i="11"/>
  <c r="N50" i="11"/>
  <c r="N49" i="11"/>
  <c r="N65" i="11"/>
  <c r="N66" i="11"/>
  <c r="N69" i="11"/>
  <c r="I65" i="11"/>
  <c r="I49" i="11"/>
  <c r="I68" i="11"/>
  <c r="I69" i="11"/>
  <c r="I50" i="11"/>
  <c r="I66" i="11"/>
  <c r="K31" i="11"/>
  <c r="K34" i="11"/>
  <c r="O13" i="11"/>
  <c r="K16" i="11"/>
  <c r="K15" i="11"/>
  <c r="K32" i="11"/>
  <c r="K35" i="11"/>
  <c r="N46" i="10"/>
  <c r="D8" i="12"/>
  <c r="E29" i="12" s="1"/>
  <c r="M46" i="10"/>
  <c r="N44" i="11"/>
  <c r="O44" i="11"/>
  <c r="L10" i="10"/>
  <c r="D36" i="1"/>
  <c r="O39" i="1"/>
  <c r="S10" i="10"/>
  <c r="I10" i="11"/>
  <c r="M10" i="11" s="1"/>
  <c r="K10" i="11"/>
  <c r="O10" i="11" s="1"/>
  <c r="I44" i="11"/>
  <c r="H44" i="11"/>
  <c r="D9" i="12"/>
  <c r="O25" i="1"/>
  <c r="O40" i="1"/>
  <c r="O44" i="1" s="1"/>
  <c r="N46" i="8"/>
  <c r="N45" i="8"/>
  <c r="M25" i="8"/>
  <c r="M40" i="8"/>
  <c r="M44" i="8" s="1"/>
  <c r="J46" i="8"/>
  <c r="J45" i="8"/>
  <c r="L45" i="8"/>
  <c r="L46" i="8"/>
  <c r="K45" i="8"/>
  <c r="K46" i="8"/>
  <c r="O46" i="8"/>
  <c r="O45" i="8"/>
  <c r="K25" i="7"/>
  <c r="K40" i="7"/>
  <c r="K44" i="7" s="1"/>
  <c r="L25" i="7"/>
  <c r="L40" i="7"/>
  <c r="L44" i="7" s="1"/>
  <c r="J25" i="7"/>
  <c r="J40" i="7"/>
  <c r="J44" i="7" s="1"/>
  <c r="L25" i="6"/>
  <c r="L40" i="6"/>
  <c r="L44" i="6" s="1"/>
  <c r="K25" i="6"/>
  <c r="K40" i="6"/>
  <c r="K44" i="6" s="1"/>
  <c r="J25" i="6"/>
  <c r="J40" i="6"/>
  <c r="J44" i="6" s="1"/>
  <c r="K45" i="5"/>
  <c r="K46" i="5"/>
  <c r="O45" i="5"/>
  <c r="O46" i="5"/>
  <c r="M45" i="5"/>
  <c r="M46" i="5"/>
  <c r="J45" i="5"/>
  <c r="J46" i="5"/>
  <c r="N45" i="5"/>
  <c r="N46" i="5"/>
  <c r="L46" i="5"/>
  <c r="L45" i="5"/>
  <c r="O45" i="4"/>
  <c r="O46" i="4"/>
  <c r="M25" i="4"/>
  <c r="M40" i="4"/>
  <c r="M44" i="4" s="1"/>
  <c r="K25" i="4"/>
  <c r="K40" i="4"/>
  <c r="K44" i="4" s="1"/>
  <c r="N45" i="4"/>
  <c r="N46" i="4"/>
  <c r="J45" i="4"/>
  <c r="J46" i="4"/>
  <c r="L45" i="4"/>
  <c r="L46" i="4"/>
  <c r="J45" i="3"/>
  <c r="J46" i="3"/>
  <c r="O46" i="3"/>
  <c r="O45" i="3"/>
  <c r="M45" i="3"/>
  <c r="M46" i="3"/>
  <c r="K40" i="3"/>
  <c r="K44" i="3" s="1"/>
  <c r="K25" i="3"/>
  <c r="N45" i="3"/>
  <c r="N46" i="3"/>
  <c r="L45" i="3"/>
  <c r="L46" i="3"/>
  <c r="J46" i="1"/>
  <c r="J45" i="1"/>
  <c r="L28" i="10" l="1"/>
  <c r="I64" i="10"/>
  <c r="O62" i="10"/>
  <c r="O63" i="10" s="1"/>
  <c r="T26" i="10"/>
  <c r="T28" i="10" s="1"/>
  <c r="E23" i="12"/>
  <c r="L27" i="10"/>
  <c r="D24" i="12"/>
  <c r="D29" i="12" s="1"/>
  <c r="F29" i="12" s="1"/>
  <c r="H29" i="12" s="1"/>
  <c r="J29" i="12" s="1"/>
  <c r="K29" i="12" s="1"/>
  <c r="L22" i="10"/>
  <c r="L21" i="10"/>
  <c r="T19" i="10"/>
  <c r="O55" i="10"/>
  <c r="E22" i="12"/>
  <c r="M21" i="11"/>
  <c r="M22" i="11"/>
  <c r="O22" i="11"/>
  <c r="O21" i="11"/>
  <c r="I57" i="10"/>
  <c r="I58" i="10"/>
  <c r="O34" i="11"/>
  <c r="O16" i="11"/>
  <c r="O15" i="11"/>
  <c r="O31" i="11"/>
  <c r="O35" i="11"/>
  <c r="O32" i="11"/>
  <c r="M35" i="11"/>
  <c r="M34" i="11"/>
  <c r="M15" i="11"/>
  <c r="M16" i="11"/>
  <c r="M31" i="11"/>
  <c r="M32" i="11"/>
  <c r="L35" i="10"/>
  <c r="L32" i="10"/>
  <c r="L31" i="10"/>
  <c r="L16" i="10"/>
  <c r="L34" i="10"/>
  <c r="L15" i="10"/>
  <c r="I70" i="10"/>
  <c r="I71" i="10"/>
  <c r="I51" i="10"/>
  <c r="I52" i="10"/>
  <c r="I68" i="10"/>
  <c r="I67" i="10"/>
  <c r="E21" i="12"/>
  <c r="O49" i="10"/>
  <c r="T13" i="10"/>
  <c r="E25" i="12"/>
  <c r="D32" i="12" s="1"/>
  <c r="E30" i="12"/>
  <c r="F30" i="12" s="1"/>
  <c r="H30" i="12" s="1"/>
  <c r="J30" i="12" s="1"/>
  <c r="K30" i="12" s="1"/>
  <c r="I46" i="10"/>
  <c r="O45" i="1"/>
  <c r="O46" i="1"/>
  <c r="D10" i="12"/>
  <c r="E31" i="12"/>
  <c r="E32" i="12"/>
  <c r="M45" i="8"/>
  <c r="M46" i="8"/>
  <c r="J45" i="7"/>
  <c r="J46" i="7"/>
  <c r="L45" i="7"/>
  <c r="L46" i="7"/>
  <c r="K45" i="7"/>
  <c r="K46" i="7"/>
  <c r="J45" i="6"/>
  <c r="J46" i="6"/>
  <c r="K45" i="6"/>
  <c r="K46" i="6"/>
  <c r="L45" i="6"/>
  <c r="L46" i="6"/>
  <c r="K46" i="4"/>
  <c r="K45" i="4"/>
  <c r="M45" i="4"/>
  <c r="M46" i="4"/>
  <c r="K45" i="3"/>
  <c r="K46" i="3"/>
  <c r="T27" i="10" l="1"/>
  <c r="O64" i="10"/>
  <c r="E24" i="12"/>
  <c r="D31" i="12" s="1"/>
  <c r="H31" i="12" s="1"/>
  <c r="F31" i="12" s="1"/>
  <c r="O57" i="10"/>
  <c r="O58" i="10"/>
  <c r="T21" i="10"/>
  <c r="T22" i="10"/>
  <c r="F39" i="12"/>
  <c r="T34" i="10"/>
  <c r="T31" i="10"/>
  <c r="T32" i="10"/>
  <c r="T16" i="10"/>
  <c r="T35" i="10"/>
  <c r="T15" i="10"/>
  <c r="O71" i="10"/>
  <c r="O67" i="10"/>
  <c r="O52" i="10"/>
  <c r="O68" i="10"/>
  <c r="O51" i="10"/>
  <c r="O70" i="10"/>
  <c r="H32" i="12"/>
  <c r="F32" i="12" s="1"/>
  <c r="D39" i="12"/>
  <c r="T10" i="10"/>
  <c r="O46" i="10"/>
  <c r="C39" i="12" l="1"/>
  <c r="C49" i="12" s="1"/>
  <c r="D49" i="12"/>
  <c r="G39" i="12"/>
  <c r="E49" i="12" s="1"/>
  <c r="J32" i="12"/>
  <c r="K32" i="12" s="1"/>
  <c r="E39" i="12"/>
  <c r="J31" i="12"/>
  <c r="G49" i="12" l="1"/>
  <c r="D40" i="12"/>
  <c r="F40" i="12"/>
  <c r="F41" i="12" s="1"/>
  <c r="K31" i="12"/>
  <c r="C40" i="12" l="1"/>
  <c r="C50" i="12" s="1"/>
  <c r="G40" i="12"/>
  <c r="E50" i="12" s="1"/>
  <c r="D41" i="12"/>
  <c r="D50" i="12"/>
  <c r="E40" i="12"/>
  <c r="G50" i="12" l="1"/>
  <c r="G41" i="12"/>
  <c r="C43" i="12" s="1"/>
  <c r="D51" i="12"/>
  <c r="E41" i="12"/>
  <c r="C41" i="12" l="1"/>
  <c r="C51" i="12" s="1"/>
  <c r="E51" i="12"/>
  <c r="G51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Devansh Wadhwani</author>
  </authors>
  <commentList>
    <comment ref="D41" authorId="0" shapeId="0" xr:uid="{0AED2C33-C07C-4884-AA24-24160CF42B69}">
      <text>
        <r>
          <rPr>
            <b/>
            <sz val="9"/>
            <color indexed="81"/>
            <rFont val="Tahoma"/>
            <charset val="1"/>
          </rPr>
          <t>Devansh Wadhwani:</t>
        </r>
        <r>
          <rPr>
            <sz val="9"/>
            <color indexed="81"/>
            <rFont val="Tahoma"/>
            <charset val="1"/>
          </rPr>
          <t xml:space="preserve">
Definitive low = higher of the two approaches' lows (overlap zone where both EV/EBITDA and P/E approaches agree).</t>
        </r>
      </text>
    </comment>
    <comment ref="F41" authorId="0" shapeId="0" xr:uid="{3C26F44B-14BA-4573-8109-E6DA47948892}">
      <text>
        <r>
          <rPr>
            <b/>
            <sz val="9"/>
            <color indexed="81"/>
            <rFont val="Tahoma"/>
            <charset val="1"/>
          </rPr>
          <t>Devansh Wadhwani:</t>
        </r>
        <r>
          <rPr>
            <sz val="9"/>
            <color indexed="81"/>
            <rFont val="Tahoma"/>
            <charset val="1"/>
          </rPr>
          <t xml:space="preserve">
Definitive high = lower of the two approaches' highs (overlap zone where both EV/EBITDA and P/E approaches agree).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Devansh Wadhwani</author>
    <author>tc={1DD8352E-4E32-4EE2-B8C7-4A7D22BF1B57}</author>
  </authors>
  <commentList>
    <comment ref="T8" authorId="0" shapeId="0" xr:uid="{7EA1D0EF-3767-4961-84DB-3E2EE35A160F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Cash &amp; cash equivalents + short-term investments. Source: Adobe FY2025 10-K, SEC EDGAR</t>
        </r>
      </text>
    </comment>
    <comment ref="U8" authorId="0" shapeId="0" xr:uid="{8747B52D-A942-44D3-8144-5A4C16068566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Cash + short-term investments as of 5/29/2026. Source: Adobe Q2 FY2026 10-Q, SEC EDGAR, https://www.sec.gov/Archives/edgar/data/0000796343/000079634326000112/adbe-20260529.htm</t>
        </r>
      </text>
    </comment>
    <comment ref="L11" authorId="0" shapeId="0" xr:uid="{26C08E2D-717C-4EEE-9721-BFC3BA0FAF63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Source: Adobe FY2025 10-K, SEC EDGAR, https://www.sec.gov/Archives/edgar/data/0000796343/000079634326000003/adbe-20251128.htm</t>
        </r>
      </text>
    </comment>
    <comment ref="O11" authorId="0" shapeId="0" xr:uid="{E4635772-7E26-4314-9510-117815A8E6E2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LTM = FY2025 + H1 FY2026 - H1 FY2025. Source: Adobe FY2025 10-K &amp; Q2 FY2026 10-Q, SEC EDGAR</t>
        </r>
      </text>
    </comment>
    <comment ref="G14" authorId="1" shapeId="0" xr:uid="{1DD8352E-4E32-4EE2-B8C7-4A7D22BF1B57}">
      <text>
        <t>[Threaded comment]
Your version of Excel allows you to read this threaded comment; however, any edits to it will get removed if the file is opened in a newer version of Excel. Learn more: https://go.microsoft.com/fwlink/?linkid=870924
Comment:
    5-year market beta. Source: Yahoo Finance / stockanalysis.com, as of Jul 2026.</t>
      </text>
    </comment>
    <comment ref="T14" authorId="0" shapeId="0" xr:uid="{CB63C4E4-702E-4BD8-B525-D44EE08ABEBF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Goodwill + other intangibles. Source: Adobe FY2025 10-K</t>
        </r>
      </text>
    </comment>
    <comment ref="G15" authorId="0" shapeId="0" xr:uid="{B1BE802A-118F-43E0-AA5D-BBFAEFED00D8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Marginal tax set to Adobe's FY2025 effective tax rate (=IS effective rate, L23 = 18.4%), per company-specific basis. Source: Adobe FY2025 10-K.</t>
        </r>
      </text>
    </comment>
    <comment ref="G18" authorId="0" shapeId="0" xr:uid="{24D4E791-B0ED-4A9F-B027-23E44ABA97D5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Market price as of 7/8/2026 (market data, not a filing). Source: Robinhood/Yahoo Finance quote, ADBE, 7/8/2026</t>
        </r>
      </text>
    </comment>
    <comment ref="G19" authorId="0" shapeId="0" xr:uid="{205CAFDC-6DAC-4A00-892C-AF0C478AA857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52-week high as of 7/8/2026. Source: Yahoo Finance/Google Finance, ADBE</t>
        </r>
      </text>
    </comment>
    <comment ref="T19" authorId="0" shapeId="0" xr:uid="{0C806CF0-4EDC-49C2-914F-B819804ADFFF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Other current liabilities incl. deferred revenue, income tax payable, op lease (ex-debt)</t>
        </r>
      </text>
    </comment>
    <comment ref="G20" authorId="0" shapeId="0" xr:uid="{6916D2EE-650C-47E9-BA28-63EDF0022825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52-week low as of 7/8/2026. Source: Yahoo Finance/Google Finance, ADBE</t>
        </r>
      </text>
    </comment>
    <comment ref="G21" authorId="0" shapeId="0" xr:uid="{10FAC4F9-4C0A-44F9-949F-CD4B81FA57AA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Adobe pays no dividend. Source: Adobe FY2025 10-K, SEC EDGAR, https://www.sec.gov/Archives/edgar/data/0000796343/000079634326000003/adbe-20251128.htm</t>
        </r>
      </text>
    </comment>
    <comment ref="T21" authorId="0" shapeId="0" xr:uid="{6C100701-BD0B-41C0-9CCA-7D4D29C9A505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Total debt (current + long-term). Source: Adobe FY2025 10-K</t>
        </r>
      </text>
    </comment>
    <comment ref="U21" authorId="0" shapeId="0" xr:uid="{C0E3E413-7ACD-44B2-AB82-38BE8E4A114E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Total debt (current + long-term) as of 5/29/2026. Source: Adobe Q2 FY2026 10-Q</t>
        </r>
      </text>
    </comment>
    <comment ref="Q31" authorId="0" shapeId="0" xr:uid="{0B6AA788-FDAA-40EA-8750-4FFDFB0F969F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Adobe has no stock options or warrants outstanding. Equity compensation is settled in RSUs/PSUs, so there are no option tranches (number of shares / exercise price) to input. Confirmed: no options table in Adobe FY2025 10-K, SEC EDGAR. In-the-money shares and proceeds therefore = 0.</t>
        </r>
      </text>
    </comment>
    <comment ref="E34" authorId="0" shapeId="0" xr:uid="{C607A3DD-A753-4B49-808F-3EB142A19786}">
      <text>
        <r>
          <rPr>
            <b/>
            <sz val="9"/>
            <color indexed="81"/>
            <rFont val="Tahoma"/>
            <family val="2"/>
          </rPr>
          <t>Consensus FY2026E revenue ($26.52B). Source: stockanalysis.com (S&amp;P Global Market Intelligence consensus), as of 7/7/2026.</t>
        </r>
      </text>
    </comment>
    <comment ref="F34" authorId="0" shapeId="0" xr:uid="{5F55D7F9-521C-4578-8CBD-ECAAFE3C6704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Consensus FY2027E revenue ($28.89B). Source: stockanalysis.com (S&amp;P Global consensus), as of 7/7/2026.</t>
        </r>
      </text>
    </comment>
    <comment ref="L37" authorId="0" shapeId="0" xr:uid="{565B6F25-1133-4ACB-86A3-79D74B4D41DE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Depreciation, amortization &amp; accretion. Source: Adobe FY2025 10-K, SEC EDGAR</t>
        </r>
      </text>
    </comment>
    <comment ref="E40" authorId="0" shapeId="0" xr:uid="{ED2E90C9-887D-43A3-B383-545E05E24771}">
      <text>
        <r>
          <rPr>
            <b/>
            <sz val="9"/>
            <color indexed="81"/>
            <rFont val="Tahoma"/>
            <family val="2"/>
          </rPr>
          <t>Consensus FY2026E EPS, NON-GAAP basis ($24.42). Source: stockanalysis.com (S&amp;P Global consensus). Note: sheet's trailing EPS is GAAP; forward P/E is conventionally quoted on non-GAAP EPS.</t>
        </r>
      </text>
    </comment>
    <comment ref="F40" authorId="0" shapeId="0" xr:uid="{E0E0DC46-7555-471E-9823-067C33D68DA1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Consensus FY2027E EPS, NON-GAAP basis ($27.53). Source: stockanalysis.com (S&amp;P Global consensus).</t>
        </r>
      </text>
    </comment>
    <comment ref="Q40" authorId="0" shapeId="0" xr:uid="{0CC23ED1-7373-4F79-B63D-88D7D2A93599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Adobe has no convertible securities outstanding. Its debt consists solely of straight senior notes (2.15%–5.30%, maturities 2027–2035). Confirmed: Adobe Q2 FY2026 10-Q debt note, SEC EDGAR. New shares from conversion = 0.</t>
        </r>
      </text>
    </comment>
    <comment ref="E42" authorId="0" shapeId="0" xr:uid="{F76262C3-3515-4B87-B98C-2A96CE052978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Consensus FY2026E free cash flow ($10.37B). Source: stockanalysis.com (S&amp;P Global consensus), as of 7/7/2026.</t>
        </r>
      </text>
    </comment>
    <comment ref="L49" authorId="0" shapeId="0" xr:uid="{8055851C-BDA4-4891-AFF8-92E4B2D56D31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Net cash provided by operating activities. Source: Adobe FY2025 10-K, SEC EDGAR</t>
        </r>
      </text>
    </comment>
    <comment ref="Q49" authorId="0" shapeId="0" xr:uid="{A90FF6EE-CAE0-4A81-A5C0-2DC094668B94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No options or convertibles outstanding, so fully diluted = basic shares outstanding (399M as of 5/29/2026). RSU/PSU dilution (~8M, ~2%) is not captured in the option/convertible framework and is immaterial to valuation.</t>
        </r>
      </text>
    </comment>
    <comment ref="L50" authorId="0" shapeId="0" xr:uid="{B4175C41-1D60-420E-B395-E5631EA16092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Purchases of property and equipment. Source: Adobe FY2025 10-K, SEC EDGAR</t>
        </r>
      </text>
    </comment>
    <comment ref="U50" authorId="0" shapeId="0" xr:uid="{73DAA81E-4D5F-410C-81B9-BCF3C51746B4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Common shares outstanding as of 5/29/2026. Source: Adobe Q2 FY2026 10-Q, SEC EDGAR</t>
        </r>
      </text>
    </comment>
    <comment ref="G57" authorId="0" shapeId="0" xr:uid="{9D4294A2-E3D6-45A5-9E42-134CFB874133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Non-GAAP consensus EPS growth: FY2026E $24.42 vs FY2025 $20.94. Source: stockanalysis.com (S&amp;P Global consensus). GAAP-basis growth differs; sheet actuals are GAAP.</t>
        </r>
      </text>
    </comment>
    <comment ref="G58" authorId="0" shapeId="0" xr:uid="{87CE69F0-D6E2-4D80-B6D1-FE46BAA5CDCE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Non-GAAP consensus EPS 2-yr CAGR: FY2027E $27.53 vs FY2025 $20.94. Source: stockanalysis.com (S&amp;P Global consensus).</t>
        </r>
      </text>
    </comment>
    <comment ref="D59" authorId="0" shapeId="0" xr:uid="{DD353309-4769-4BE7-BAC1-875C7ED51808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Adobe long-term ARR growth target ~10.2%. Source: Adobe FY2025 10-K / investor commentary.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tc={49B23E07-D903-44CF-82AA-CD73631FAAF0}</author>
    <author>Devansh Wadhwani</author>
  </authors>
  <commentList>
    <comment ref="G14" authorId="0" shapeId="0" xr:uid="{49B23E07-D903-44CF-82AA-CD73631FAAF0}">
      <text>
        <t>[Threaded comment]
Your version of Excel allows you to read this threaded comment; however, any edits to it will get removed if the file is opened in a newer version of Excel. Learn more: https://go.microsoft.com/fwlink/?linkid=870924
Comment:
    5-year market beta. Source: stockanalysis.com, as of Jul 2026.</t>
      </text>
    </comment>
    <comment ref="Q31" authorId="1" shapeId="0" xr:uid="{7AAA56AA-6269-4970-8F43-7103AD41191F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Autodesk has no stock options or warrants outstanding; equity compensation is RSUs/PSUs. No option tranches to input; in-the-money shares and proceeds = 0.</t>
        </r>
      </text>
    </comment>
    <comment ref="E34" authorId="1" shapeId="0" xr:uid="{2B697ABF-7AF5-4874-A9F7-5F9134D00279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Consensus/company FY2027E revenue (guidance $8,155-8,215M midpoint). Source: Autodesk Q1 FY2027 release + stockanalysis.com consensus ($8.15B), as of ~7/7/26.</t>
        </r>
      </text>
    </comment>
    <comment ref="E40" authorId="1" shapeId="0" xr:uid="{1A300153-9DA0-4AC6-9BDE-2784DDE868B6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FY2027E EPS, NON-GAAP basis (~$12.50; company guidance range $12.29-12.56, raised). Source: Autodesk Q1 FY2027 release. Sheet's trailing EPS is GAAP; forward P/E conventionally non-GAAP.</t>
        </r>
      </text>
    </comment>
    <comment ref="Q40" authorId="1" shapeId="0" xr:uid="{5611BECD-BB7C-46D2-A7BF-BF8903CBF9B2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Autodesk has no convertible securities. Debt consists of straight senior notes. No conversions to model.</t>
        </r>
      </text>
    </comment>
    <comment ref="Q49" authorId="1" shapeId="0" xr:uid="{DE8A653D-8A07-4B7E-92AF-86BB4D004054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No options or convertibles; fully diluted = basic shares outstanding (211M as of 2/23/2026). RSU/PSU dilution (~3M) immaterial.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tc={579EC725-9253-4601-8091-541A15C77180}</author>
    <author>Devansh Wadhwani</author>
  </authors>
  <commentList>
    <comment ref="G14" authorId="0" shapeId="0" xr:uid="{579EC725-9253-4601-8091-541A15C77180}">
      <text>
        <t>[Threaded comment]
Your version of Excel allows you to read this threaded comment; however, any edits to it will get removed if the file is opened in a newer version of Excel. Learn more: https://go.microsoft.com/fwlink/?linkid=870924
Comment:
    Beta proxy (~peer average). Figma IPO'd July 2025 and lacks a 5-year trading history for a market beta; using a comparable-set proxy.</t>
      </text>
    </comment>
    <comment ref="G15" authorId="1" shapeId="0" xr:uid="{C4BE0509-D757-4CCE-BFA0-D0FE9A65A0DA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Figma is GAAP loss-making; FY2025 effective tax rate is not meaningful (tax provision against a pre-tax loss). Using 21% U.S. statutory rate as the marginal-tax assumption.</t>
        </r>
      </text>
    </comment>
    <comment ref="J22" authorId="1" shapeId="0" xr:uid="{40753A42-C5DC-4335-8490-46C5F7758FF7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FY2023 net income is positive due to a $1.0B one-time termination fee received from Adobe (terminated acquisition, Dec 2023), recorded in other income.</t>
        </r>
      </text>
    </comment>
    <comment ref="L22" authorId="1" shapeId="0" xr:uid="{564795E1-0EAA-4ECA-AC88-78DFAD35407F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FY2025 net loss driven by large one-time IPO/RSU-related stock-based compensation charges. Underlying revenue growth remains strong (+41% YoY).</t>
        </r>
      </text>
    </comment>
    <comment ref="Q31" authorId="1" shapeId="0" xr:uid="{1F3068D3-3F3C-462E-8FA6-2B420EC436D0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Figma equity compensation is RSUs; no stock option or warrant tranches outstanding. In-the-money shares/proceeds = 0.</t>
        </r>
      </text>
    </comment>
    <comment ref="E34" authorId="1" shapeId="0" xr:uid="{C596AA06-C4AF-4A22-BAC1-41CBE18A573E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FY2026E revenue, company guidance midpoint ($1.422–$1.428B, raised). Source: Figma Q1 2026 press release.</t>
        </r>
      </text>
    </comment>
    <comment ref="K34" authorId="1" shapeId="0" xr:uid="{F79BEA6B-1870-48FA-923E-66929D821A12}">
      <text>
        <r>
          <rPr>
            <b/>
            <sz val="9"/>
            <color indexed="81"/>
            <rFont val="Tahoma"/>
            <charset val="1"/>
          </rPr>
          <t>Devansh Wadhwani:</t>
        </r>
        <r>
          <rPr>
            <sz val="9"/>
            <color indexed="81"/>
            <rFont val="Tahoma"/>
            <charset val="1"/>
          </rPr>
          <t xml:space="preserve">
One-time stock-based compensation expense (net of amounts capitalized) recognized in 2024 in connection with the May 2024 RSU Release and 2024 Stock Option Grants. Source: Figma S-1, SEC EDGAR, https://www.sec.gov/Archives/edgar/data/1579878/000162828025033742/figma-sx1.htm</t>
        </r>
      </text>
    </comment>
    <comment ref="L34" authorId="1" shapeId="0" xr:uid="{E1A6B895-D856-45AF-B857-81ED501CB7A1}">
      <text>
        <r>
          <rPr>
            <b/>
            <sz val="9"/>
            <color indexed="81"/>
            <rFont val="Tahoma"/>
            <charset val="1"/>
          </rPr>
          <t>Devansh Wadhwani:</t>
        </r>
        <r>
          <rPr>
            <sz val="9"/>
            <color indexed="81"/>
            <rFont val="Tahoma"/>
            <charset val="1"/>
          </rPr>
          <t xml:space="preserve">
One-time cumulative stock-based compensation expense recognized upon IPO (Q3 2025) for RSUs with liquidity-event vesting condition. Source: Figma Q3 2025 press release, Figma Investor Relations, https://investor.figma.com/news-events/news/news-details/2025/Figma-Announces-Third-Quarter-2025-Financial-Results/default.aspx</t>
        </r>
      </text>
    </comment>
    <comment ref="Q40" authorId="1" shapeId="0" xr:uid="{C504D12B-78F1-461C-9154-20A5578368E6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Figma has no convertible securities and no debt outstanding.</t>
        </r>
      </text>
    </comment>
    <comment ref="J41" authorId="1" shapeId="0" xr:uid="{8FB4B9A1-48FB-4547-866E-8290313492A4}">
      <text>
        <r>
          <rPr>
            <b/>
            <sz val="9"/>
            <color indexed="81"/>
            <rFont val="Tahoma"/>
            <charset val="1"/>
          </rPr>
          <t>Devansh Wadhwani:</t>
        </r>
        <r>
          <rPr>
            <sz val="9"/>
            <color indexed="81"/>
            <rFont val="Tahoma"/>
            <charset val="1"/>
          </rPr>
          <t xml:space="preserve">
Removes $1.0B one-time termination fee received from Adobe (Dec 2023) in connection with the abandoned merger, recorded in Other income. Source: Figma S-1, SEC EDGAR, https://www.sec.gov/Archives/edgar/data/1579878/000162828025033742/figma-sx1.htm</t>
        </r>
      </text>
    </comment>
    <comment ref="J43" authorId="1" shapeId="0" xr:uid="{3EE3FF8E-F898-4487-9302-DDC073CF9595}">
      <text>
        <r>
          <rPr>
            <b/>
            <sz val="9"/>
            <color indexed="81"/>
            <rFont val="Tahoma"/>
            <charset val="1"/>
          </rPr>
          <t>Devansh Wadhwani:</t>
        </r>
        <r>
          <rPr>
            <sz val="9"/>
            <color indexed="81"/>
            <rFont val="Tahoma"/>
            <charset val="1"/>
          </rPr>
          <t xml:space="preserve">
Tax effect of adjustment at marginal tax rate (G15).</t>
        </r>
      </text>
    </comment>
    <comment ref="K43" authorId="1" shapeId="0" xr:uid="{CDA10A28-01A6-442D-89C7-B78354150893}">
      <text>
        <r>
          <rPr>
            <b/>
            <sz val="9"/>
            <color indexed="81"/>
            <rFont val="Tahoma"/>
            <charset val="1"/>
          </rPr>
          <t>Devansh Wadhwani:</t>
        </r>
        <r>
          <rPr>
            <sz val="9"/>
            <color indexed="81"/>
            <rFont val="Tahoma"/>
            <charset val="1"/>
          </rPr>
          <t xml:space="preserve">
Tax effect of adjustment at marginal tax rate (G15).</t>
        </r>
      </text>
    </comment>
    <comment ref="L43" authorId="1" shapeId="0" xr:uid="{84B5B116-1A64-45B8-9383-E3D02A911EEF}">
      <text>
        <r>
          <rPr>
            <b/>
            <sz val="9"/>
            <color indexed="81"/>
            <rFont val="Tahoma"/>
            <charset val="1"/>
          </rPr>
          <t>Devansh Wadhwani:</t>
        </r>
        <r>
          <rPr>
            <sz val="9"/>
            <color indexed="81"/>
            <rFont val="Tahoma"/>
            <charset val="1"/>
          </rPr>
          <t xml:space="preserve">
Tax effect of adjustment at marginal tax rate (G15).</t>
        </r>
      </text>
    </comment>
    <comment ref="Q49" authorId="1" shapeId="0" xr:uid="{CBF82996-E283-4F6D-AFFC-C7298606EA33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Fully diluted ≈ weighted-average diluted shares (~500–523M, dual-class A/B/C structure). No options/converts. Basic share count approximate given post-IPO/RSU dynamics.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tc={7027CE0A-39A3-4FAE-A802-D11DFDD1D990}</author>
    <author>Devansh Wadhwani</author>
  </authors>
  <commentList>
    <comment ref="G14" authorId="0" shapeId="0" xr:uid="{7027CE0A-39A3-4FAE-A802-D11DFDD1D990}">
      <text>
        <t>[Threaded comment]
Your version of Excel allows you to read this threaded comment; however, any edits to it will get removed if the file is opened in a newer version of Excel. Learn more: https://go.microsoft.com/fwlink/?linkid=870924
Comment:
    5-year market beta. Source: stockanalysis.com, as of Jul 2026.</t>
      </text>
    </comment>
    <comment ref="G18" authorId="1" shapeId="0" xr:uid="{BA6F79CD-D18C-4399-A635-44249677A8D1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Current share price ~$166, as of 7/7/2026. Market data source: Investing.com (aggregator; no first-party real-time source exists).</t>
        </r>
      </text>
    </comment>
    <comment ref="G19" authorId="1" shapeId="0" xr:uid="{437E804F-811B-4048-B3B8-C687B9CB9BC8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52-week high. Source: Investing.com, 7/7/2026.</t>
        </r>
      </text>
    </comment>
    <comment ref="G20" authorId="1" shapeId="0" xr:uid="{53F8D00C-A209-4DFA-A059-2716626D5FBF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52-week low. Source: Investing.com, 7/7/2026.</t>
        </r>
      </text>
    </comment>
    <comment ref="Q31" authorId="1" shapeId="0" xr:uid="{7AE8A17B-C67F-4DAA-A48D-66FE15251DEA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Salesforce equity compensation is settled in RSUs/PSUs; no material stock options or warrants outstanding, so no option tranches to input. In-the-money shares and proceeds = 0.</t>
        </r>
      </text>
    </comment>
    <comment ref="E34" authorId="1" shapeId="0" xr:uid="{DC954B4F-431D-4E18-9FD0-7A045EFFA940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FY2027E revenue, company guidance midpoint ($45.8-46.2B). Source: Salesforce Q4 FY2026 press release (investor.salesforce.com).</t>
        </r>
      </text>
    </comment>
    <comment ref="E40" authorId="1" shapeId="0" xr:uid="{5EB2E2F6-1883-44FC-AFBB-F6636688D5FD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FY2027E consensus EPS, NON-GAAP basis (~$14.12; lifted by debt-funded buyback). Source: Yahoo Finance consensus, 7/2026. Sheet trailing EPS is GAAP.</t>
        </r>
      </text>
    </comment>
    <comment ref="Q40" authorId="1" shapeId="0" xr:uid="{5F04279B-FBFC-40B5-8FC0-380C4267DE32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Salesforce has no convertible securities outstanding; its debt consists of senior notes.</t>
        </r>
      </text>
    </comment>
    <comment ref="Q49" authorId="1" shapeId="0" xr:uid="{4C22557A-CD7A-451E-A492-900219AF0F2F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Fully diluted = basic shares outstanding (~890M as of 4/30/2026, reduced by the Q1 FY2027 debt-funded accelerated share repurchase). No options or convertibles.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tc={6EFFB3CE-9E3F-4165-9F03-39ACE6E203BC}</author>
    <author>Devansh Wadhwani</author>
  </authors>
  <commentList>
    <comment ref="G14" authorId="0" shapeId="0" xr:uid="{6EFFB3CE-9E3F-4165-9F03-39ACE6E203BC}">
      <text>
        <t>[Threaded comment]
Your version of Excel allows you to read this threaded comment; however, any edits to it will get removed if the file is opened in a newer version of Excel. Learn more: https://go.microsoft.com/fwlink/?linkid=870924
Comment:
    5-year market beta. Source: Investing.com, as of Jul 2026.</t>
      </text>
    </comment>
    <comment ref="G18" authorId="1" shapeId="0" xr:uid="{9B189B19-7E1F-47C1-9BC5-46DECCC22A32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Price as of 7/7/2026. Source: market data aggregator (Robinhood). Market data, not from filings.</t>
        </r>
      </text>
    </comment>
    <comment ref="Q31" authorId="1" shapeId="0" xr:uid="{D36F553C-872C-421A-A914-984023124CA8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HubSpot equity compensation is primarily RSUs; no material stock option or warrant tranches to input. In-the-money shares/proceeds = 0.</t>
        </r>
      </text>
    </comment>
    <comment ref="E34" authorId="1" shapeId="0" xr:uid="{BC739741-FA38-43CB-8BCA-57FA9A716316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FY2026E revenue, HubSpot guidance midpoint ($3.700-3.708B). Source: HubSpot Q1 2026 8-K guidance.</t>
        </r>
      </text>
    </comment>
    <comment ref="E40" authorId="1" shapeId="0" xr:uid="{81151494-4AF7-4320-9AFF-D9209015E0D2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FY2026E non-GAAP EPS, HubSpot guidance midpoint ($13.04-13.12). Source: HubSpot Q1 2026 8-K. Sheet trailing EPS is GAAP.</t>
        </r>
      </text>
    </comment>
    <comment ref="Q40" authorId="1" shapeId="0" xr:uid="{2D79BF1E-5E08-459B-928C-977890CE8FA1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HubSpot's 0.375% convertible senior notes due 2025 matured/settled in June 2025; no convertible securities outstanding as of 3/31/2026. Total debt = 0.</t>
        </r>
      </text>
    </comment>
    <comment ref="Q49" authorId="1" shapeId="0" xr:uid="{D4E7ACA7-C82F-4222-921F-C46765FB5848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Fully diluted = basic shares outstanding (~52.5M). No options or convertibles outstanding.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tc={44CECE7B-8D9C-442A-8738-7A7D1C04B8A7}</author>
    <author>Devansh Wadhwani</author>
  </authors>
  <commentList>
    <comment ref="G14" authorId="0" shapeId="0" xr:uid="{44CECE7B-8D9C-442A-8738-7A7D1C04B8A7}">
      <text>
        <t>[Threaded comment]
Your version of Excel allows you to read this threaded comment; however, any edits to it will get removed if the file is opened in a newer version of Excel. Learn more: https://go.microsoft.com/fwlink/?linkid=870924
Comment:
    5-year market beta. Source: stockanalysis.com, as of Jul 2026.</t>
      </text>
    </comment>
    <comment ref="G18" authorId="1" shapeId="0" xr:uid="{DF534412-AA0C-4170-A8C5-EDC65BA55F34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Market data as of ~7/7/2026. Source: TradingView/Motley Fool (market aggregators; live price not in filings).</t>
        </r>
      </text>
    </comment>
    <comment ref="Q31" authorId="1" shapeId="0" xr:uid="{E6CF6C62-41E9-4193-AD1D-9CD53B3406D1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DocuSign equity comp is RSU-based; no material stock options/warrants to input. In-the-money shares/proceeds = 0.</t>
        </r>
      </text>
    </comment>
    <comment ref="E34" authorId="1" shapeId="0" xr:uid="{5A216DBD-61A0-4FAB-9F49-B5373EDA7CA9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FY2027E revenue, company guidance midpoint ($3.490-3.502B). Source: DocuSign Q1 FY2027 release, 6/4/2026.</t>
        </r>
      </text>
    </comment>
    <comment ref="E40" authorId="1" shapeId="0" xr:uid="{4A54662B-F6DA-4709-81A7-A60B2DA2E540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FY2027E consensus EPS (non-GAAP, approximate). Sheet trailing EPS is GAAP. Source: S&amp;P Global consensus / company margin guidance.</t>
        </r>
      </text>
    </comment>
    <comment ref="Q40" authorId="1" shapeId="0" xr:uid="{F2ABA09D-FB7A-435C-9C90-6C25C2C9AF71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DocuSign's 0% convertible senior notes (due 2023 &amp; 2024) were repurchased/settled; no convertible securities outstanding. Total debt ~0.</t>
        </r>
      </text>
    </comment>
    <comment ref="K43" authorId="1" shapeId="0" xr:uid="{BAAD2527-73BB-4975-A6CC-0733FC047F6E}">
      <text>
        <r>
          <rPr>
            <b/>
            <sz val="9"/>
            <color indexed="81"/>
            <rFont val="Tahoma"/>
            <charset val="1"/>
          </rPr>
          <t>Devansh Wadhwani:</t>
        </r>
        <r>
          <rPr>
            <sz val="9"/>
            <color indexed="81"/>
            <rFont val="Tahoma"/>
            <charset val="1"/>
          </rPr>
          <t xml:space="preserve">
Removes one-time release of $837.3M valuation allowance on U.S. federal and certain state deferred tax assets (FY2025 income tax benefit was $819.9M). Source: DocuSign FY2025 10-K, SEC EDGAR, https://www.sec.gov/Archives/edgar/data/0001261333/000126133325000024/docu-20250131.htm</t>
        </r>
      </text>
    </comment>
    <comment ref="Q49" authorId="1" shapeId="0" xr:uid="{5A23830D-BEFC-4F2F-9FAB-84CA08A98B9E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Fully diluted = basic shares (~198M as of 4/30/2026, post buyback). No options/converts.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tc={D1B08DDA-109F-4042-9DEF-D0F4341228F6}</author>
    <author>Devansh Wadhwani</author>
  </authors>
  <commentList>
    <comment ref="G14" authorId="0" shapeId="0" xr:uid="{D1B08DDA-109F-4042-9DEF-D0F4341228F6}">
      <text>
        <t>[Threaded comment]
Your version of Excel allows you to read this threaded comment; however, any edits to it will get removed if the file is opened in a newer version of Excel. Learn more: https://go.microsoft.com/fwlink/?linkid=870924
Comment:
    5-year market beta. Source: stockanalysis.com, as of Jul 2026.</t>
      </text>
    </comment>
    <comment ref="Q31" authorId="1" shapeId="0" xr:uid="{CDED06AB-665D-4BC0-986F-D373708466C9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Dropbox equity compensation is RSUs; no stock option or warrant tranches outstanding. In-the-money shares/proceeds = 0.</t>
        </r>
      </text>
    </comment>
    <comment ref="E34" authorId="1" shapeId="0" xr:uid="{7B59C9EC-1F1D-4B21-886B-78178D4EB2C8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FY2026E revenue, company guidance midpoint $2.497-2.512B. Source: Dropbox Q1 2026 release.</t>
        </r>
      </text>
    </comment>
    <comment ref="E40" authorId="1" shapeId="0" xr:uid="{C172A0D0-092D-41AF-8FBB-CE0AE8525F3F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FY2026E consensus EPS (non-GAAP, approximate). Source: consensus. Sheet trailing EPS is GAAP.</t>
        </r>
      </text>
    </comment>
    <comment ref="Q40" authorId="1" shapeId="0" xr:uid="{07B297F6-C74B-434C-8AD4-4BBB5771B378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2028 Notes ($693.3M, 0% coupon, conversion price $35.35 = 28.2889 shares/$1,000, mature 3/1/2028) shown below. Out-of-the-money vs current ~$28.85 → anti-dilutive; treated as debt (in Total Debt), excluded from fully-diluted shares. 2026 Notes ($695.8M) repaid at maturity 3/1/2026. Source: Dropbox Q1 2026 10-Q.</t>
        </r>
      </text>
    </comment>
    <comment ref="R41" authorId="1" shapeId="0" xr:uid="{AE04A1D4-9E1C-4B73-A078-0DA8473B32EB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2028 Notes: $693.3M 0% convertible senior notes due 3/1/2028. Source: Dropbox Q1 2026 10-Q.</t>
        </r>
      </text>
    </comment>
    <comment ref="U54" authorId="1" shapeId="0" xr:uid="{3EB72B5D-62BB-460D-93ED-D6986C88E688}">
      <text>
        <r>
          <rPr>
            <b/>
            <sz val="9"/>
            <color indexed="81"/>
            <rFont val="Tahoma"/>
            <family val="2"/>
          </rPr>
          <t>Devansh Wadhwani:</t>
        </r>
        <r>
          <rPr>
            <sz val="9"/>
            <color indexed="81"/>
            <rFont val="Tahoma"/>
            <family val="2"/>
          </rPr>
          <t xml:space="preserve">
2028 convertible notes are out-of-the-money (conv price $35.35 &gt; current ~$28.85) — anti-dilutive, excluded from fully-diluted shares and treated as debt (in Total Debt). 2026 Notes $695.8M repaid at maturity 3/1/2026.</t>
        </r>
      </text>
    </comment>
  </commentList>
</comments>
</file>

<file path=xl/sharedStrings.xml><?xml version="1.0" encoding="utf-8"?>
<sst xmlns="http://schemas.openxmlformats.org/spreadsheetml/2006/main" count="1613" uniqueCount="296">
  <si>
    <t>Input Page</t>
  </si>
  <si>
    <t>($ in millions, except per share data)</t>
  </si>
  <si>
    <t>General Information</t>
  </si>
  <si>
    <t>Company Name</t>
  </si>
  <si>
    <t>Ticker</t>
  </si>
  <si>
    <t>Stock Exchange</t>
  </si>
  <si>
    <t>Nasdaq</t>
  </si>
  <si>
    <t>Fiscal Year Ending</t>
  </si>
  <si>
    <t>Moody's Corporate Rating</t>
  </si>
  <si>
    <t>NA</t>
  </si>
  <si>
    <t>S&amp;P Corporate Rating</t>
  </si>
  <si>
    <t>Predicted Beta</t>
  </si>
  <si>
    <t>Marginal Tax Rate</t>
  </si>
  <si>
    <t>Selected Market Data</t>
  </si>
  <si>
    <t>Current Price</t>
  </si>
  <si>
    <t>52-week High</t>
  </si>
  <si>
    <t>52-week Low Price</t>
  </si>
  <si>
    <t>Dividend Per Share (MRQ)</t>
  </si>
  <si>
    <t>Fully Diluted Shares Outstanding</t>
  </si>
  <si>
    <t>Equity Value</t>
  </si>
  <si>
    <t>Plus: Total Debt</t>
  </si>
  <si>
    <t>Plus: Preferred Stock</t>
  </si>
  <si>
    <t>Plus: Noncontrolling Interest</t>
  </si>
  <si>
    <t>Less: Cash and Cash Equivalents</t>
  </si>
  <si>
    <t>Enterprise Value</t>
  </si>
  <si>
    <t>Trading Multiples</t>
  </si>
  <si>
    <t>LTM</t>
  </si>
  <si>
    <t>NFY</t>
  </si>
  <si>
    <t>NFY+1</t>
  </si>
  <si>
    <t>NFY+2</t>
  </si>
  <si>
    <t>EV / Sales</t>
  </si>
  <si>
    <t xml:space="preserve">   Metric</t>
  </si>
  <si>
    <t>EV / EBITDA</t>
  </si>
  <si>
    <t>EV / EBIT</t>
  </si>
  <si>
    <t>P / E</t>
  </si>
  <si>
    <t>FCF Yield</t>
  </si>
  <si>
    <t>LTM Capital Structure &amp; Investment Ratios</t>
  </si>
  <si>
    <t>Total Debt / Total Capitalization</t>
  </si>
  <si>
    <t>Return on Invested Capital</t>
  </si>
  <si>
    <t>Return on Equity</t>
  </si>
  <si>
    <t>Return on Assets</t>
  </si>
  <si>
    <t>Implied Annual Dividend Per Share</t>
  </si>
  <si>
    <t>Growth Rates</t>
  </si>
  <si>
    <t>Sales</t>
  </si>
  <si>
    <t>EBITDA</t>
  </si>
  <si>
    <t>FCF</t>
  </si>
  <si>
    <t>EPS</t>
  </si>
  <si>
    <t>Historical</t>
  </si>
  <si>
    <t xml:space="preserve">   1-year</t>
  </si>
  <si>
    <t xml:space="preserve">   2-year CAGR</t>
  </si>
  <si>
    <t>Estimated</t>
  </si>
  <si>
    <t xml:space="preserve">   Long-term</t>
  </si>
  <si>
    <t>Reported Income Statement</t>
  </si>
  <si>
    <t>Fiscal Year Ending December 31,</t>
  </si>
  <si>
    <t>Prior Stub</t>
  </si>
  <si>
    <t>Current Stub</t>
  </si>
  <si>
    <t>COGS (incl. D&amp;A)</t>
  </si>
  <si>
    <t>Gross Profit</t>
  </si>
  <si>
    <t>SG&amp;A</t>
  </si>
  <si>
    <t>EBIT</t>
  </si>
  <si>
    <t>Interest Expense</t>
  </si>
  <si>
    <t>Other Expense / (Income)</t>
  </si>
  <si>
    <t>Pre-tax Income</t>
  </si>
  <si>
    <t>Income Taxes</t>
  </si>
  <si>
    <t>Noncontrolling Interest</t>
  </si>
  <si>
    <t>Preferred Dividends</t>
  </si>
  <si>
    <t>Net Income</t>
  </si>
  <si>
    <t>Effective Tax Rate</t>
  </si>
  <si>
    <t>Weighted Avg. Diluted Shares</t>
  </si>
  <si>
    <t>Diluted EPS</t>
  </si>
  <si>
    <t>Adjusted Income Statement</t>
  </si>
  <si>
    <t>Reported Gross Profit</t>
  </si>
  <si>
    <t>Non-recurring Items in COGS</t>
  </si>
  <si>
    <t>Adj. Gross Profit</t>
  </si>
  <si>
    <t xml:space="preserve">   % margin</t>
  </si>
  <si>
    <t>Reported EBIT</t>
  </si>
  <si>
    <t>Other Non-recurring Items</t>
  </si>
  <si>
    <t>Adjusted EBIT</t>
  </si>
  <si>
    <t>Depreciation &amp; Amortization</t>
  </si>
  <si>
    <t>Adjusted EBITDA</t>
  </si>
  <si>
    <t>Reported Net Income</t>
  </si>
  <si>
    <t>Tax Adjustment</t>
  </si>
  <si>
    <t>Adjusted Net Income</t>
  </si>
  <si>
    <t>Adjusted Diluted EPS</t>
  </si>
  <si>
    <t>Cash Flow Statement Data</t>
  </si>
  <si>
    <t>Cash From Operations</t>
  </si>
  <si>
    <t>Capital Expenditures</t>
  </si>
  <si>
    <t>Free Cash Flow</t>
  </si>
  <si>
    <t>FCF / Share</t>
  </si>
  <si>
    <t xml:space="preserve">   % sales</t>
  </si>
  <si>
    <t>Notes</t>
  </si>
  <si>
    <t>(1)  [to come]</t>
  </si>
  <si>
    <t>(2)  [to come]</t>
  </si>
  <si>
    <t>Balance Sheet Data</t>
  </si>
  <si>
    <t>Cash and Cash Equivalents</t>
  </si>
  <si>
    <t>Accounts Receivable</t>
  </si>
  <si>
    <t>Inventories</t>
  </si>
  <si>
    <t>Prepaid and Other Current Assets</t>
  </si>
  <si>
    <t>Total Current Assets</t>
  </si>
  <si>
    <t>Property, Plant and Equipment, net</t>
  </si>
  <si>
    <t>Goodwill and Intangible Assets</t>
  </si>
  <si>
    <t>Other Assets</t>
  </si>
  <si>
    <t>Total Assets</t>
  </si>
  <si>
    <t>Accounts Payable</t>
  </si>
  <si>
    <t>Accrued Liabilities</t>
  </si>
  <si>
    <t>Other Current Liabilities</t>
  </si>
  <si>
    <t>Total Current Liabilities</t>
  </si>
  <si>
    <t>Total Debt</t>
  </si>
  <si>
    <t>Other Long-Term Liabilities</t>
  </si>
  <si>
    <t>Total Liabilities</t>
  </si>
  <si>
    <t>Preferred Stock</t>
  </si>
  <si>
    <t>Shareholders' Equity</t>
  </si>
  <si>
    <t>Total Liabilities and Equity</t>
  </si>
  <si>
    <t>Balance Check</t>
  </si>
  <si>
    <t>Options / Warrants</t>
  </si>
  <si>
    <t>Number of Shares</t>
  </si>
  <si>
    <t>Exercise Price</t>
  </si>
  <si>
    <t>In-the-Money Shares</t>
  </si>
  <si>
    <t>Proceeds</t>
  </si>
  <si>
    <t>Tranche 1</t>
  </si>
  <si>
    <t>Tranche 2</t>
  </si>
  <si>
    <t>Tranche 3</t>
  </si>
  <si>
    <t>Tranche 4</t>
  </si>
  <si>
    <t>Tranche 5</t>
  </si>
  <si>
    <t>Total</t>
  </si>
  <si>
    <t>Convertible Securities</t>
  </si>
  <si>
    <t>Amount</t>
  </si>
  <si>
    <t>Conversion Price</t>
  </si>
  <si>
    <t>Conversion Ratio</t>
  </si>
  <si>
    <t>New Shares</t>
  </si>
  <si>
    <t>Issue 1</t>
  </si>
  <si>
    <t>Issue 2</t>
  </si>
  <si>
    <t>Issue 3</t>
  </si>
  <si>
    <t>Issue 4</t>
  </si>
  <si>
    <t>Issue 5</t>
  </si>
  <si>
    <t>Basic Shares Outstanding</t>
  </si>
  <si>
    <t>Plus: Shares from In-the-Money Options</t>
  </si>
  <si>
    <t>Less: Shares Repurchased</t>
  </si>
  <si>
    <t>Net New Shares from Options</t>
  </si>
  <si>
    <t>Plus: Shares from Convertible Securities</t>
  </si>
  <si>
    <t>December 31</t>
  </si>
  <si>
    <t>Calculation of Fully Diluted Shares Outstanding</t>
  </si>
  <si>
    <t>2026E</t>
  </si>
  <si>
    <t>2027E</t>
  </si>
  <si>
    <t>2028E</t>
  </si>
  <si>
    <t>2023A</t>
  </si>
  <si>
    <t>2024A</t>
  </si>
  <si>
    <t>2025A</t>
  </si>
  <si>
    <t>Adobe Inc.</t>
  </si>
  <si>
    <t>ADBE</t>
  </si>
  <si>
    <t>November 28</t>
  </si>
  <si>
    <t>FY2024</t>
  </si>
  <si>
    <t>FY2025</t>
  </si>
  <si>
    <t>FY2026</t>
  </si>
  <si>
    <t>FY2027E</t>
  </si>
  <si>
    <t>FY2028E</t>
  </si>
  <si>
    <t>FY2029E</t>
  </si>
  <si>
    <t>Autodesk, Inc.</t>
  </si>
  <si>
    <t>ADSK</t>
  </si>
  <si>
    <t>January 31</t>
  </si>
  <si>
    <t>Salesforce, Inc.</t>
  </si>
  <si>
    <t>CRM</t>
  </si>
  <si>
    <t>NYSE</t>
  </si>
  <si>
    <t>HubSpot, Inc.</t>
  </si>
  <si>
    <t>HUBS</t>
  </si>
  <si>
    <t>DocuSign, Inc.</t>
  </si>
  <si>
    <t>DOCU</t>
  </si>
  <si>
    <t>Dropbox, Inc.</t>
  </si>
  <si>
    <t>DBX</t>
  </si>
  <si>
    <t>Figma, Inc.</t>
  </si>
  <si>
    <t>FIG</t>
  </si>
  <si>
    <t>Adobe Inc. (Nasdaq:ADBE)</t>
  </si>
  <si>
    <t>Autodesk, Inc. (Nasdaq:ADSK)</t>
  </si>
  <si>
    <t>Salesforce, Inc. (NYSE:CRM)</t>
  </si>
  <si>
    <t>HubSpot, Inc. (NYSE:HUBS)</t>
  </si>
  <si>
    <t>DocuSign, Inc. (Nasdaq:DOCU)</t>
  </si>
  <si>
    <t>Dropbox, Inc. (Nasdaq:DBX)</t>
  </si>
  <si>
    <t>Figma, Inc. (NYSE:FIG)</t>
  </si>
  <si>
    <t>Comparable Companies Analysis</t>
  </si>
  <si>
    <t>($ in millions, except per share data)     •     As of July 8, 2026</t>
  </si>
  <si>
    <t>Table of Contents</t>
  </si>
  <si>
    <t>#</t>
  </si>
  <si>
    <t>Worksheet</t>
  </si>
  <si>
    <t>Description</t>
  </si>
  <si>
    <t>Output Page</t>
  </si>
  <si>
    <t>Adobe Inc. (Nasdaq:ADBE) — valuation target</t>
  </si>
  <si>
    <t>Input Page-ADBE</t>
  </si>
  <si>
    <t>Input Page-ADSK</t>
  </si>
  <si>
    <t>Input Page-CRM</t>
  </si>
  <si>
    <t>Input Page-HUBS</t>
  </si>
  <si>
    <t>Input Page-DOCU</t>
  </si>
  <si>
    <t>Input Page-DBX</t>
  </si>
  <si>
    <t>Input Page-FIG</t>
  </si>
  <si>
    <t>Company</t>
  </si>
  <si>
    <t>Market Valuation</t>
  </si>
  <si>
    <t>LTM Financial Statistics</t>
  </si>
  <si>
    <t>LTM Profitability Margins</t>
  </si>
  <si>
    <t>Gross Profit (%)</t>
  </si>
  <si>
    <t>EBITDA (%)</t>
  </si>
  <si>
    <t>EBIT (%)</t>
  </si>
  <si>
    <t>Net Income (%)</t>
  </si>
  <si>
    <t>Hist. 1-yr</t>
  </si>
  <si>
    <t>Est. 1-yr</t>
  </si>
  <si>
    <t>Est. LT</t>
  </si>
  <si>
    <t>Tier I:  Creative &amp; Design Software   —   maps to Creative Cloud (~60% weight)</t>
  </si>
  <si>
    <t>Tier II:  Marketing Tech &amp; Customer Experience   —   maps to Experience Cloud (~25% weight)</t>
  </si>
  <si>
    <t>Tier III:  Document Workflow &amp; Productivity   —   maps to Document Cloud (~15% weight)</t>
  </si>
  <si>
    <t>Mean</t>
  </si>
  <si>
    <t>Median</t>
  </si>
  <si>
    <t>Overall Comparables</t>
  </si>
  <si>
    <t>High</t>
  </si>
  <si>
    <t>Low</t>
  </si>
  <si>
    <t>Benchmarking Analysis — Financial Statistics and Ratios (Page 2)</t>
  </si>
  <si>
    <t>General</t>
  </si>
  <si>
    <t>Return on Investment</t>
  </si>
  <si>
    <t>LTM Leverage Ratios</t>
  </si>
  <si>
    <t>LTM Coverage Ratios</t>
  </si>
  <si>
    <t>Credit Ratings</t>
  </si>
  <si>
    <t>FYE</t>
  </si>
  <si>
    <t>ROIC (%)</t>
  </si>
  <si>
    <t>ROE (%)</t>
  </si>
  <si>
    <t>ROA (%)</t>
  </si>
  <si>
    <t>Implied Div. Yield (%)</t>
  </si>
  <si>
    <t>Debt / Tot. Cap (%)</t>
  </si>
  <si>
    <t>Debt / EBITDA (x)</t>
  </si>
  <si>
    <t>Net Debt / EBITDA (x)</t>
  </si>
  <si>
    <t>EBITDA / Int. Exp. (x)</t>
  </si>
  <si>
    <t>(EBITDA - Capx) / Int. Exp. (x)</t>
  </si>
  <si>
    <t>EBIT / Int. Exp. (x)</t>
  </si>
  <si>
    <t>Moody's</t>
  </si>
  <si>
    <t>S&amp;P</t>
  </si>
  <si>
    <t>Comparable Companies Analysis — Benchmarking</t>
  </si>
  <si>
    <t>Comparable Companies Analysis — Trading Multiples Output</t>
  </si>
  <si>
    <t>Current Share Price</t>
  </si>
  <si>
    <t>% of 52-wk High</t>
  </si>
  <si>
    <t>LTM EBITDA Margin</t>
  </si>
  <si>
    <t>Total Debt / EBITDA</t>
  </si>
  <si>
    <t>LT EPS Growth</t>
  </si>
  <si>
    <t>Enterprise Value /</t>
  </si>
  <si>
    <t>Price /</t>
  </si>
  <si>
    <t>Trading Multiples Output — Equity Research / Equity Investors View</t>
  </si>
  <si>
    <t>NFY EBITDA Margin</t>
  </si>
  <si>
    <t>LTM Debt / EBITDA</t>
  </si>
  <si>
    <t>LTM EBITDA / Int. Exp.</t>
  </si>
  <si>
    <t>Div Yield</t>
  </si>
  <si>
    <t>Price / EPS</t>
  </si>
  <si>
    <t>Implied Valuation Range</t>
  </si>
  <si>
    <t>Adobe — LTM Financials &amp; Current Capitalization</t>
  </si>
  <si>
    <t>Valuation Summary — Football Field</t>
  </si>
  <si>
    <t>LTM EBITDA</t>
  </si>
  <si>
    <t>LTM Net Income</t>
  </si>
  <si>
    <t>LTM Diluted EPS</t>
  </si>
  <si>
    <t>Less: Cash &amp; Investments</t>
  </si>
  <si>
    <t>Net Debt</t>
  </si>
  <si>
    <t>Current Market Cap</t>
  </si>
  <si>
    <t>Current Enterprise Value</t>
  </si>
  <si>
    <t>Tier Weight</t>
  </si>
  <si>
    <t>Tier I — Creative &amp; Design (ADSK, FIG)</t>
  </si>
  <si>
    <t>Tier II — MarTech &amp; CX (CRM, HUBS)</t>
  </si>
  <si>
    <t>Tier III — Document &amp; Productivity (DOCU, DBX)</t>
  </si>
  <si>
    <t>Tier-Weighted</t>
  </si>
  <si>
    <t>Case</t>
  </si>
  <si>
    <t>Multiple</t>
  </si>
  <si>
    <t>Adobe Metric</t>
  </si>
  <si>
    <t>Implied EV</t>
  </si>
  <si>
    <t>Implied Market Cap</t>
  </si>
  <si>
    <t>Shares</t>
  </si>
  <si>
    <t>Implied Share Price</t>
  </si>
  <si>
    <t>vs. Current</t>
  </si>
  <si>
    <t>EV/EBITDA — Tier-Weighted Median</t>
  </si>
  <si>
    <t>EV/EBITDA — Overall Median</t>
  </si>
  <si>
    <t>P/E — Tier-Weighted Median</t>
  </si>
  <si>
    <t>P/E — Overall Median</t>
  </si>
  <si>
    <t>Approach</t>
  </si>
  <si>
    <t>Low ($/sh)</t>
  </si>
  <si>
    <t>Span</t>
  </si>
  <si>
    <t>High ($/sh)</t>
  </si>
  <si>
    <t>Comparable Multiples — LTM (Median)</t>
  </si>
  <si>
    <t>Implied Valuation — Median Multiples</t>
  </si>
  <si>
    <t>EV / EBITDA (Median)</t>
  </si>
  <si>
    <t>P / E (Median)</t>
  </si>
  <si>
    <t>Overall (Normal) Median</t>
  </si>
  <si>
    <t>Trading multiples output — comps summary &amp; equity research views</t>
  </si>
  <si>
    <t>Benchmarking</t>
  </si>
  <si>
    <t>Benchmarking analysis — financial statistics &amp; ratios (Pages 1–2)</t>
  </si>
  <si>
    <t>Valuation</t>
  </si>
  <si>
    <t>Implied valuation range — median comps &amp; football field</t>
  </si>
  <si>
    <t>($ in million)</t>
  </si>
  <si>
    <t>Mid ($/sh)</t>
  </si>
  <si>
    <t>Chart data (helper — feeds football field)</t>
  </si>
  <si>
    <t>Marker width ($/sh):</t>
  </si>
  <si>
    <t>Base</t>
  </si>
  <si>
    <t>Range (below mid)</t>
  </si>
  <si>
    <t>Midpoint</t>
  </si>
  <si>
    <t>Range (above mid)</t>
  </si>
  <si>
    <t>NM Cap  (max 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</si>
</sst>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0.0%"/>
    <numFmt numFmtId="165" formatCode="#,##0.0"/>
    <numFmt numFmtId="166" formatCode="&quot;₹&quot;#,##0;\(&quot;₹&quot;#,##0\);\-"/>
    <numFmt numFmtId="167" formatCode="#,##0;\(#,##0\);\-"/>
    <numFmt numFmtId="168" formatCode="0.000"/>
    <numFmt numFmtId="169" formatCode="#,##0.0;\(#,##0.0\);\-"/>
    <numFmt numFmtId="170" formatCode="[$$-409]#,##0.00"/>
    <numFmt numFmtId="171" formatCode="m&quot;/&quot;d&quot;/&quot;yyyy"/>
    <numFmt numFmtId="172" formatCode="0.0&quot;x&quot;"/>
    <numFmt numFmtId="173" formatCode="m/&quot;/&quot;d/&quot;/&quot;yyyy"/>
    <numFmt numFmtId="174" formatCode="#,##0;\(#,##0\)"/>
    <numFmt numFmtId="175" formatCode="\(#,##0\)"/>
    <numFmt numFmtId="176" formatCode="\+0%;\-0%;0%"/>
    <numFmt numFmtId="177" formatCode="[$$-409]#,##0"/>
    <numFmt numFmtId="181" formatCode="0&quot;x&quot;"/>
  </numFmts>
  <fonts count="3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4"/>
      <color rgb="FFFFFFFF"/>
      <name val="Times New Roman"/>
      <family val="1"/>
    </font>
    <font>
      <sz val="9"/>
      <color rgb="FFFFFFFF"/>
      <name val="Times New Roman"/>
      <family val="1"/>
    </font>
    <font>
      <b/>
      <i/>
      <sz val="11"/>
      <color theme="1"/>
      <name val="Times New Roman"/>
      <family val="1"/>
    </font>
    <font>
      <i/>
      <sz val="8"/>
      <color theme="1"/>
      <name val="Times New Roman"/>
      <family val="1"/>
    </font>
    <font>
      <b/>
      <sz val="9"/>
      <color rgb="FFFFFFFF"/>
      <name val="Times New Roman"/>
      <family val="1"/>
    </font>
    <font>
      <sz val="9"/>
      <color rgb="FF0000FF"/>
      <name val="Times New Roman"/>
      <family val="1"/>
    </font>
    <font>
      <b/>
      <sz val="9"/>
      <color theme="1"/>
      <name val="Times New Roman"/>
      <family val="1"/>
    </font>
    <font>
      <b/>
      <sz val="8"/>
      <color rgb="FFFFFFFF"/>
      <name val="Times New Roman"/>
      <family val="1"/>
    </font>
    <font>
      <b/>
      <i/>
      <sz val="9"/>
      <color theme="1"/>
      <name val="Times New Roman"/>
      <family val="1"/>
    </font>
    <font>
      <b/>
      <sz val="12"/>
      <color rgb="FFFFFFFF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30"/>
      <color rgb="FFFFFFFF"/>
      <name val="Aptos Narrow"/>
      <family val="2"/>
      <scheme val="minor"/>
    </font>
    <font>
      <sz val="16"/>
      <color rgb="FFFFFFFF"/>
      <name val="Aptos Narrow"/>
      <family val="2"/>
      <scheme val="minor"/>
    </font>
    <font>
      <i/>
      <sz val="10"/>
      <color rgb="FFBDD7EE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22"/>
      <color rgb="FFFFFFFF"/>
      <name val="Aptos Narrow"/>
      <family val="2"/>
      <scheme val="minor"/>
    </font>
    <font>
      <i/>
      <sz val="9"/>
      <color rgb="FFFFFFFF"/>
      <name val="Times New Roman"/>
      <family val="1"/>
    </font>
    <font>
      <b/>
      <sz val="11"/>
      <color theme="1"/>
      <name val="Times New Roman"/>
      <family val="1"/>
    </font>
    <font>
      <b/>
      <sz val="22"/>
      <color rgb="FFFFFFFF"/>
      <name val="Times New Roman"/>
      <family val="1"/>
    </font>
    <font>
      <b/>
      <sz val="10"/>
      <color rgb="FFFFFFFF"/>
      <name val="Times New Roman"/>
      <family val="1"/>
    </font>
    <font>
      <sz val="9"/>
      <color rgb="FF808080"/>
      <name val="Times New Roman"/>
      <family val="1"/>
    </font>
    <font>
      <b/>
      <sz val="9"/>
      <color rgb="FF80808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0"/>
      <color rgb="FF0563C1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rgb="FF000000"/>
      <name val="Times New Roman"/>
      <family val="1"/>
    </font>
    <font>
      <i/>
      <sz val="9"/>
      <color rgb="FF808080"/>
      <name val="Times New Roman"/>
      <family val="1"/>
    </font>
    <font>
      <b/>
      <sz val="9"/>
      <color theme="0"/>
      <name val="Times New Roman"/>
      <family val="1"/>
    </font>
    <font>
      <b/>
      <sz val="11"/>
      <color rgb="FF0000FF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1CBF3"/>
        <bgColor indexed="64"/>
      </patternFill>
    </fill>
    <fill>
      <patternFill patternType="solid">
        <fgColor rgb="FFFFFFFF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rgb="FFBFBFBF"/>
      </top>
      <bottom/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thin">
        <color rgb="FFBFBFBF"/>
      </right>
      <top/>
      <bottom style="medium">
        <color rgb="FF002060"/>
      </bottom>
      <diagonal/>
    </border>
    <border>
      <left/>
      <right/>
      <top style="thin">
        <color rgb="FFBFBFBF"/>
      </top>
      <bottom style="thin">
        <color theme="0"/>
      </bottom>
      <diagonal/>
    </border>
    <border>
      <left/>
      <right style="thin">
        <color rgb="FFBFBFBF"/>
      </right>
      <top style="thin">
        <color rgb="FFBFBFBF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rgb="FF8EAADB"/>
      </left>
      <right/>
      <top style="thin">
        <color rgb="FF8EAADB"/>
      </top>
      <bottom style="thin">
        <color rgb="FFD9D9D9"/>
      </bottom>
      <diagonal/>
    </border>
    <border>
      <left/>
      <right/>
      <top style="thin">
        <color rgb="FF8EAADB"/>
      </top>
      <bottom style="thin">
        <color rgb="FFD9D9D9"/>
      </bottom>
      <diagonal/>
    </border>
    <border>
      <left/>
      <right style="thin">
        <color auto="1"/>
      </right>
      <top style="thin">
        <color rgb="FF8EAADB"/>
      </top>
      <bottom style="thin">
        <color rgb="FFD9D9D9"/>
      </bottom>
      <diagonal/>
    </border>
    <border>
      <left style="thin">
        <color rgb="FF8EAADB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auto="1"/>
      </right>
      <top style="thin">
        <color rgb="FFD9D9D9"/>
      </top>
      <bottom style="thin">
        <color rgb="FFD9D9D9"/>
      </bottom>
      <diagonal/>
    </border>
    <border>
      <left style="thin">
        <color rgb="FF8EAADB"/>
      </left>
      <right/>
      <top style="thin">
        <color rgb="FFD9D9D9"/>
      </top>
      <bottom style="thin">
        <color auto="1"/>
      </bottom>
      <diagonal/>
    </border>
    <border>
      <left/>
      <right/>
      <top style="thin">
        <color rgb="FFD9D9D9"/>
      </top>
      <bottom style="thin">
        <color auto="1"/>
      </bottom>
      <diagonal/>
    </border>
    <border>
      <left/>
      <right style="thin">
        <color auto="1"/>
      </right>
      <top style="thin">
        <color rgb="FFD9D9D9"/>
      </top>
      <bottom style="thin">
        <color auto="1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5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8" fillId="2" borderId="0" xfId="0" applyFont="1" applyFill="1"/>
    <xf numFmtId="0" fontId="8" fillId="2" borderId="2" xfId="0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2" xfId="0" applyFont="1" applyBorder="1"/>
    <xf numFmtId="49" fontId="9" fillId="0" borderId="0" xfId="0" applyNumberFormat="1" applyFont="1" applyAlignment="1">
      <alignment horizontal="right"/>
    </xf>
    <xf numFmtId="0" fontId="10" fillId="0" borderId="0" xfId="0" applyFont="1"/>
    <xf numFmtId="167" fontId="10" fillId="0" borderId="4" xfId="0" applyNumberFormat="1" applyFont="1" applyBorder="1"/>
    <xf numFmtId="2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170" fontId="9" fillId="0" borderId="0" xfId="0" applyNumberFormat="1" applyFont="1"/>
    <xf numFmtId="165" fontId="3" fillId="0" borderId="0" xfId="0" applyNumberFormat="1" applyFont="1"/>
    <xf numFmtId="166" fontId="10" fillId="0" borderId="4" xfId="0" applyNumberFormat="1" applyFont="1" applyBorder="1"/>
    <xf numFmtId="164" fontId="3" fillId="0" borderId="0" xfId="0" applyNumberFormat="1" applyFont="1"/>
    <xf numFmtId="166" fontId="3" fillId="0" borderId="0" xfId="0" applyNumberFormat="1" applyFont="1"/>
    <xf numFmtId="170" fontId="3" fillId="0" borderId="0" xfId="0" applyNumberFormat="1" applyFont="1"/>
    <xf numFmtId="166" fontId="10" fillId="0" borderId="5" xfId="0" applyNumberFormat="1" applyFont="1" applyBorder="1"/>
    <xf numFmtId="167" fontId="3" fillId="0" borderId="0" xfId="0" applyNumberFormat="1" applyFont="1"/>
    <xf numFmtId="167" fontId="7" fillId="0" borderId="0" xfId="0" applyNumberFormat="1" applyFont="1"/>
    <xf numFmtId="164" fontId="7" fillId="0" borderId="0" xfId="0" applyNumberFormat="1" applyFont="1"/>
    <xf numFmtId="0" fontId="11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165" fontId="10" fillId="0" borderId="4" xfId="0" applyNumberFormat="1" applyFont="1" applyBorder="1"/>
    <xf numFmtId="165" fontId="10" fillId="0" borderId="0" xfId="0" applyNumberFormat="1" applyFont="1"/>
    <xf numFmtId="167" fontId="10" fillId="0" borderId="0" xfId="0" applyNumberFormat="1" applyFont="1"/>
    <xf numFmtId="164" fontId="3" fillId="0" borderId="0" xfId="0" applyNumberFormat="1" applyFont="1" applyAlignment="1">
      <alignment horizontal="right"/>
    </xf>
    <xf numFmtId="170" fontId="3" fillId="0" borderId="0" xfId="0" applyNumberFormat="1" applyFont="1" applyAlignment="1">
      <alignment horizontal="right"/>
    </xf>
    <xf numFmtId="0" fontId="10" fillId="0" borderId="2" xfId="0" applyFont="1" applyBorder="1" applyAlignment="1">
      <alignment horizontal="center"/>
    </xf>
    <xf numFmtId="169" fontId="3" fillId="0" borderId="0" xfId="0" applyNumberFormat="1" applyFont="1"/>
    <xf numFmtId="0" fontId="12" fillId="0" borderId="0" xfId="0" applyFont="1"/>
    <xf numFmtId="165" fontId="10" fillId="0" borderId="5" xfId="0" applyNumberFormat="1" applyFont="1" applyBorder="1"/>
    <xf numFmtId="0" fontId="3" fillId="2" borderId="0" xfId="0" applyFont="1" applyFill="1"/>
    <xf numFmtId="167" fontId="9" fillId="0" borderId="0" xfId="0" applyNumberFormat="1" applyFont="1"/>
    <xf numFmtId="165" fontId="9" fillId="0" borderId="0" xfId="0" applyNumberFormat="1" applyFont="1"/>
    <xf numFmtId="0" fontId="3" fillId="0" borderId="4" xfId="0" applyFont="1" applyBorder="1"/>
    <xf numFmtId="168" fontId="3" fillId="0" borderId="0" xfId="0" applyNumberFormat="1" applyFont="1"/>
    <xf numFmtId="171" fontId="7" fillId="0" borderId="2" xfId="0" applyNumberFormat="1" applyFont="1" applyBorder="1" applyAlignment="1">
      <alignment horizontal="center"/>
    </xf>
    <xf numFmtId="171" fontId="8" fillId="2" borderId="2" xfId="0" applyNumberFormat="1" applyFont="1" applyFill="1" applyBorder="1" applyAlignment="1">
      <alignment horizontal="center"/>
    </xf>
    <xf numFmtId="172" fontId="3" fillId="0" borderId="0" xfId="0" applyNumberFormat="1" applyFont="1" applyAlignment="1">
      <alignment horizontal="right"/>
    </xf>
    <xf numFmtId="3" fontId="3" fillId="0" borderId="0" xfId="0" applyNumberFormat="1" applyFont="1"/>
    <xf numFmtId="173" fontId="7" fillId="0" borderId="2" xfId="0" applyNumberFormat="1" applyFont="1" applyBorder="1" applyAlignment="1">
      <alignment horizontal="center"/>
    </xf>
    <xf numFmtId="173" fontId="8" fillId="2" borderId="2" xfId="0" applyNumberFormat="1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174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0" fillId="5" borderId="0" xfId="0" applyFont="1" applyFill="1" applyAlignment="1">
      <alignment horizontal="center"/>
    </xf>
    <xf numFmtId="9" fontId="10" fillId="5" borderId="0" xfId="0" applyNumberFormat="1" applyFont="1" applyFill="1" applyAlignment="1">
      <alignment horizontal="center"/>
    </xf>
    <xf numFmtId="0" fontId="11" fillId="2" borderId="8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/>
    </xf>
    <xf numFmtId="174" fontId="10" fillId="5" borderId="9" xfId="0" applyNumberFormat="1" applyFont="1" applyFill="1" applyBorder="1" applyAlignment="1">
      <alignment horizontal="center"/>
    </xf>
    <xf numFmtId="9" fontId="10" fillId="5" borderId="9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5" borderId="10" xfId="0" applyFont="1" applyFill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9" fontId="10" fillId="5" borderId="14" xfId="0" applyNumberFormat="1" applyFont="1" applyFill="1" applyBorder="1" applyAlignment="1">
      <alignment horizontal="center"/>
    </xf>
    <xf numFmtId="9" fontId="3" fillId="0" borderId="15" xfId="0" applyNumberFormat="1" applyFont="1" applyBorder="1" applyAlignment="1">
      <alignment horizontal="center"/>
    </xf>
    <xf numFmtId="0" fontId="10" fillId="6" borderId="12" xfId="0" applyFont="1" applyFill="1" applyBorder="1" applyAlignment="1">
      <alignment horizontal="left"/>
    </xf>
    <xf numFmtId="0" fontId="10" fillId="6" borderId="4" xfId="0" applyFont="1" applyFill="1" applyBorder="1" applyAlignment="1">
      <alignment horizontal="center"/>
    </xf>
    <xf numFmtId="174" fontId="10" fillId="6" borderId="4" xfId="0" applyNumberFormat="1" applyFont="1" applyFill="1" applyBorder="1" applyAlignment="1">
      <alignment horizontal="center"/>
    </xf>
    <xf numFmtId="9" fontId="10" fillId="6" borderId="4" xfId="0" applyNumberFormat="1" applyFont="1" applyFill="1" applyBorder="1" applyAlignment="1">
      <alignment horizontal="center"/>
    </xf>
    <xf numFmtId="9" fontId="10" fillId="6" borderId="16" xfId="0" applyNumberFormat="1" applyFont="1" applyFill="1" applyBorder="1" applyAlignment="1">
      <alignment horizontal="center"/>
    </xf>
    <xf numFmtId="0" fontId="10" fillId="6" borderId="11" xfId="0" applyFont="1" applyFill="1" applyBorder="1" applyAlignment="1">
      <alignment horizontal="left"/>
    </xf>
    <xf numFmtId="0" fontId="10" fillId="6" borderId="0" xfId="0" applyFont="1" applyFill="1" applyAlignment="1">
      <alignment horizontal="center"/>
    </xf>
    <xf numFmtId="174" fontId="10" fillId="6" borderId="0" xfId="0" applyNumberFormat="1" applyFont="1" applyFill="1" applyAlignment="1">
      <alignment horizontal="center"/>
    </xf>
    <xf numFmtId="9" fontId="10" fillId="6" borderId="0" xfId="0" applyNumberFormat="1" applyFont="1" applyFill="1" applyAlignment="1">
      <alignment horizontal="center"/>
    </xf>
    <xf numFmtId="9" fontId="10" fillId="6" borderId="15" xfId="0" applyNumberFormat="1" applyFont="1" applyFill="1" applyBorder="1" applyAlignment="1">
      <alignment horizontal="center"/>
    </xf>
    <xf numFmtId="0" fontId="10" fillId="6" borderId="13" xfId="0" applyFont="1" applyFill="1" applyBorder="1" applyAlignment="1">
      <alignment horizontal="left"/>
    </xf>
    <xf numFmtId="0" fontId="10" fillId="6" borderId="2" xfId="0" applyFont="1" applyFill="1" applyBorder="1" applyAlignment="1">
      <alignment horizontal="center"/>
    </xf>
    <xf numFmtId="174" fontId="10" fillId="6" borderId="2" xfId="0" applyNumberFormat="1" applyFont="1" applyFill="1" applyBorder="1" applyAlignment="1">
      <alignment horizontal="center"/>
    </xf>
    <xf numFmtId="9" fontId="10" fillId="6" borderId="2" xfId="0" applyNumberFormat="1" applyFont="1" applyFill="1" applyBorder="1" applyAlignment="1">
      <alignment horizontal="center"/>
    </xf>
    <xf numFmtId="9" fontId="10" fillId="6" borderId="17" xfId="0" applyNumberFormat="1" applyFont="1" applyFill="1" applyBorder="1" applyAlignment="1">
      <alignment horizontal="center"/>
    </xf>
    <xf numFmtId="172" fontId="3" fillId="0" borderId="0" xfId="0" applyNumberFormat="1" applyFont="1" applyAlignment="1">
      <alignment horizontal="center"/>
    </xf>
    <xf numFmtId="172" fontId="10" fillId="5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25" xfId="0" applyFont="1" applyBorder="1" applyAlignment="1">
      <alignment horizontal="left"/>
    </xf>
    <xf numFmtId="0" fontId="10" fillId="0" borderId="25" xfId="0" applyFont="1" applyBorder="1" applyAlignment="1">
      <alignment horizontal="left"/>
    </xf>
    <xf numFmtId="0" fontId="3" fillId="0" borderId="26" xfId="0" applyFont="1" applyBorder="1" applyAlignment="1">
      <alignment horizontal="center"/>
    </xf>
    <xf numFmtId="0" fontId="10" fillId="5" borderId="25" xfId="0" applyFont="1" applyFill="1" applyBorder="1" applyAlignment="1">
      <alignment horizontal="left"/>
    </xf>
    <xf numFmtId="2" fontId="10" fillId="5" borderId="0" xfId="0" applyNumberFormat="1" applyFont="1" applyFill="1" applyAlignment="1">
      <alignment horizontal="center"/>
    </xf>
    <xf numFmtId="0" fontId="10" fillId="5" borderId="26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left"/>
    </xf>
    <xf numFmtId="2" fontId="10" fillId="6" borderId="0" xfId="0" applyNumberFormat="1" applyFont="1" applyFill="1" applyAlignment="1">
      <alignment horizontal="center"/>
    </xf>
    <xf numFmtId="172" fontId="10" fillId="6" borderId="0" xfId="0" applyNumberFormat="1" applyFont="1" applyFill="1" applyAlignment="1">
      <alignment horizontal="center"/>
    </xf>
    <xf numFmtId="0" fontId="10" fillId="6" borderId="26" xfId="0" applyFont="1" applyFill="1" applyBorder="1" applyAlignment="1">
      <alignment horizontal="center"/>
    </xf>
    <xf numFmtId="0" fontId="10" fillId="6" borderId="23" xfId="0" applyFont="1" applyFill="1" applyBorder="1" applyAlignment="1">
      <alignment horizontal="left"/>
    </xf>
    <xf numFmtId="0" fontId="10" fillId="6" borderId="21" xfId="0" applyFont="1" applyFill="1" applyBorder="1" applyAlignment="1">
      <alignment horizontal="center"/>
    </xf>
    <xf numFmtId="2" fontId="10" fillId="6" borderId="21" xfId="0" applyNumberFormat="1" applyFont="1" applyFill="1" applyBorder="1" applyAlignment="1">
      <alignment horizontal="center"/>
    </xf>
    <xf numFmtId="9" fontId="10" fillId="6" borderId="21" xfId="0" applyNumberFormat="1" applyFont="1" applyFill="1" applyBorder="1" applyAlignment="1">
      <alignment horizontal="center"/>
    </xf>
    <xf numFmtId="172" fontId="10" fillId="6" borderId="21" xfId="0" applyNumberFormat="1" applyFont="1" applyFill="1" applyBorder="1" applyAlignment="1">
      <alignment horizontal="center"/>
    </xf>
    <xf numFmtId="0" fontId="10" fillId="6" borderId="24" xfId="0" applyFont="1" applyFill="1" applyBorder="1" applyAlignment="1">
      <alignment horizontal="center"/>
    </xf>
    <xf numFmtId="0" fontId="10" fillId="7" borderId="0" xfId="0" applyFont="1" applyFill="1" applyAlignment="1">
      <alignment horizontal="center"/>
    </xf>
    <xf numFmtId="9" fontId="10" fillId="7" borderId="0" xfId="0" applyNumberFormat="1" applyFont="1" applyFill="1" applyAlignment="1">
      <alignment horizontal="center"/>
    </xf>
    <xf numFmtId="174" fontId="10" fillId="7" borderId="0" xfId="0" applyNumberFormat="1" applyFont="1" applyFill="1" applyAlignment="1">
      <alignment horizontal="center"/>
    </xf>
    <xf numFmtId="172" fontId="10" fillId="7" borderId="0" xfId="0" applyNumberFormat="1" applyFont="1" applyFill="1" applyAlignment="1">
      <alignment horizontal="center"/>
    </xf>
    <xf numFmtId="0" fontId="10" fillId="7" borderId="3" xfId="0" applyFont="1" applyFill="1" applyBorder="1" applyAlignment="1">
      <alignment horizontal="left"/>
    </xf>
    <xf numFmtId="0" fontId="10" fillId="7" borderId="3" xfId="0" applyFont="1" applyFill="1" applyBorder="1" applyAlignment="1">
      <alignment horizontal="center"/>
    </xf>
    <xf numFmtId="9" fontId="10" fillId="7" borderId="3" xfId="0" applyNumberFormat="1" applyFont="1" applyFill="1" applyBorder="1" applyAlignment="1">
      <alignment horizontal="center"/>
    </xf>
    <xf numFmtId="174" fontId="10" fillId="7" borderId="3" xfId="0" applyNumberFormat="1" applyFont="1" applyFill="1" applyBorder="1" applyAlignment="1">
      <alignment horizontal="center"/>
    </xf>
    <xf numFmtId="172" fontId="10" fillId="7" borderId="3" xfId="0" applyNumberFormat="1" applyFont="1" applyFill="1" applyBorder="1" applyAlignment="1">
      <alignment horizontal="center"/>
    </xf>
    <xf numFmtId="164" fontId="10" fillId="7" borderId="3" xfId="0" applyNumberFormat="1" applyFont="1" applyFill="1" applyBorder="1" applyAlignment="1">
      <alignment horizontal="center"/>
    </xf>
    <xf numFmtId="170" fontId="3" fillId="0" borderId="0" xfId="0" applyNumberFormat="1" applyFont="1" applyAlignment="1">
      <alignment horizontal="center"/>
    </xf>
    <xf numFmtId="170" fontId="10" fillId="7" borderId="3" xfId="0" applyNumberFormat="1" applyFont="1" applyFill="1" applyBorder="1" applyAlignment="1">
      <alignment horizontal="center"/>
    </xf>
    <xf numFmtId="170" fontId="10" fillId="7" borderId="0" xfId="0" applyNumberFormat="1" applyFont="1" applyFill="1" applyAlignment="1">
      <alignment horizontal="center"/>
    </xf>
    <xf numFmtId="0" fontId="11" fillId="2" borderId="7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/>
    </xf>
    <xf numFmtId="170" fontId="10" fillId="5" borderId="3" xfId="0" applyNumberFormat="1" applyFont="1" applyFill="1" applyBorder="1" applyAlignment="1">
      <alignment horizontal="center"/>
    </xf>
    <xf numFmtId="9" fontId="10" fillId="5" borderId="3" xfId="0" applyNumberFormat="1" applyFont="1" applyFill="1" applyBorder="1" applyAlignment="1">
      <alignment horizontal="center"/>
    </xf>
    <xf numFmtId="174" fontId="10" fillId="5" borderId="3" xfId="0" applyNumberFormat="1" applyFont="1" applyFill="1" applyBorder="1" applyAlignment="1">
      <alignment horizontal="center"/>
    </xf>
    <xf numFmtId="172" fontId="10" fillId="5" borderId="3" xfId="0" applyNumberFormat="1" applyFont="1" applyFill="1" applyBorder="1" applyAlignment="1">
      <alignment horizontal="center"/>
    </xf>
    <xf numFmtId="164" fontId="10" fillId="5" borderId="3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10" fillId="7" borderId="0" xfId="0" applyNumberFormat="1" applyFont="1" applyFill="1" applyAlignment="1">
      <alignment horizontal="center"/>
    </xf>
    <xf numFmtId="0" fontId="10" fillId="7" borderId="1" xfId="0" applyFont="1" applyFill="1" applyBorder="1" applyAlignment="1">
      <alignment horizontal="center"/>
    </xf>
    <xf numFmtId="170" fontId="10" fillId="7" borderId="1" xfId="0" applyNumberFormat="1" applyFont="1" applyFill="1" applyBorder="1" applyAlignment="1">
      <alignment horizontal="center"/>
    </xf>
    <xf numFmtId="9" fontId="10" fillId="7" borderId="1" xfId="0" applyNumberFormat="1" applyFont="1" applyFill="1" applyBorder="1" applyAlignment="1">
      <alignment horizontal="center"/>
    </xf>
    <xf numFmtId="174" fontId="10" fillId="7" borderId="1" xfId="0" applyNumberFormat="1" applyFont="1" applyFill="1" applyBorder="1" applyAlignment="1">
      <alignment horizontal="center"/>
    </xf>
    <xf numFmtId="172" fontId="10" fillId="7" borderId="1" xfId="0" applyNumberFormat="1" applyFont="1" applyFill="1" applyBorder="1" applyAlignment="1">
      <alignment horizontal="center"/>
    </xf>
    <xf numFmtId="164" fontId="10" fillId="7" borderId="1" xfId="0" applyNumberFormat="1" applyFont="1" applyFill="1" applyBorder="1" applyAlignment="1">
      <alignment horizontal="center"/>
    </xf>
    <xf numFmtId="0" fontId="10" fillId="5" borderId="32" xfId="0" applyFont="1" applyFill="1" applyBorder="1" applyAlignment="1">
      <alignment horizontal="left"/>
    </xf>
    <xf numFmtId="0" fontId="10" fillId="7" borderId="32" xfId="0" applyFont="1" applyFill="1" applyBorder="1" applyAlignment="1">
      <alignment horizontal="left"/>
    </xf>
    <xf numFmtId="0" fontId="10" fillId="7" borderId="6" xfId="0" applyFont="1" applyFill="1" applyBorder="1" applyAlignment="1">
      <alignment horizontal="left"/>
    </xf>
    <xf numFmtId="0" fontId="10" fillId="7" borderId="33" xfId="0" applyFont="1" applyFill="1" applyBorder="1" applyAlignment="1">
      <alignment horizontal="left"/>
    </xf>
    <xf numFmtId="164" fontId="10" fillId="5" borderId="34" xfId="0" applyNumberFormat="1" applyFont="1" applyFill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10" fillId="7" borderId="34" xfId="0" applyNumberFormat="1" applyFont="1" applyFill="1" applyBorder="1" applyAlignment="1">
      <alignment horizontal="center"/>
    </xf>
    <xf numFmtId="164" fontId="10" fillId="7" borderId="7" xfId="0" applyNumberFormat="1" applyFont="1" applyFill="1" applyBorder="1" applyAlignment="1">
      <alignment horizontal="center"/>
    </xf>
    <xf numFmtId="164" fontId="10" fillId="7" borderId="35" xfId="0" applyNumberFormat="1" applyFont="1" applyFill="1" applyBorder="1" applyAlignment="1">
      <alignment horizontal="center"/>
    </xf>
    <xf numFmtId="0" fontId="23" fillId="0" borderId="0" xfId="0" applyFont="1"/>
    <xf numFmtId="3" fontId="3" fillId="0" borderId="1" xfId="0" applyNumberFormat="1" applyFont="1" applyBorder="1"/>
    <xf numFmtId="0" fontId="3" fillId="0" borderId="6" xfId="0" applyFont="1" applyBorder="1"/>
    <xf numFmtId="0" fontId="10" fillId="0" borderId="6" xfId="0" applyFont="1" applyBorder="1"/>
    <xf numFmtId="0" fontId="3" fillId="0" borderId="33" xfId="0" applyFont="1" applyBorder="1"/>
    <xf numFmtId="0" fontId="8" fillId="2" borderId="3" xfId="0" applyFont="1" applyFill="1" applyBorder="1" applyAlignment="1">
      <alignment horizontal="center" wrapText="1"/>
    </xf>
    <xf numFmtId="172" fontId="3" fillId="0" borderId="0" xfId="0" applyNumberFormat="1" applyFont="1"/>
    <xf numFmtId="172" fontId="10" fillId="0" borderId="0" xfId="0" applyNumberFormat="1" applyFont="1"/>
    <xf numFmtId="172" fontId="10" fillId="0" borderId="1" xfId="0" applyNumberFormat="1" applyFont="1" applyBorder="1"/>
    <xf numFmtId="0" fontId="8" fillId="2" borderId="32" xfId="0" applyFont="1" applyFill="1" applyBorder="1" applyAlignment="1">
      <alignment horizontal="center" wrapText="1"/>
    </xf>
    <xf numFmtId="0" fontId="10" fillId="0" borderId="33" xfId="0" applyFont="1" applyBorder="1"/>
    <xf numFmtId="0" fontId="8" fillId="2" borderId="34" xfId="0" applyFont="1" applyFill="1" applyBorder="1" applyAlignment="1">
      <alignment horizontal="center" wrapText="1"/>
    </xf>
    <xf numFmtId="9" fontId="9" fillId="0" borderId="7" xfId="0" applyNumberFormat="1" applyFont="1" applyBorder="1"/>
    <xf numFmtId="9" fontId="10" fillId="0" borderId="7" xfId="0" applyNumberFormat="1" applyFont="1" applyBorder="1"/>
    <xf numFmtId="0" fontId="10" fillId="0" borderId="35" xfId="0" applyFont="1" applyBorder="1"/>
    <xf numFmtId="170" fontId="10" fillId="7" borderId="0" xfId="0" applyNumberFormat="1" applyFont="1" applyFill="1"/>
    <xf numFmtId="172" fontId="3" fillId="0" borderId="1" xfId="0" applyNumberFormat="1" applyFont="1" applyBorder="1"/>
    <xf numFmtId="170" fontId="10" fillId="7" borderId="1" xfId="0" applyNumberFormat="1" applyFont="1" applyFill="1" applyBorder="1"/>
    <xf numFmtId="176" fontId="3" fillId="0" borderId="7" xfId="0" applyNumberFormat="1" applyFont="1" applyBorder="1"/>
    <xf numFmtId="176" fontId="3" fillId="0" borderId="35" xfId="0" applyNumberFormat="1" applyFont="1" applyBorder="1"/>
    <xf numFmtId="3" fontId="3" fillId="0" borderId="34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170" fontId="3" fillId="0" borderId="7" xfId="0" applyNumberFormat="1" applyFont="1" applyBorder="1" applyAlignment="1">
      <alignment horizontal="center"/>
    </xf>
    <xf numFmtId="175" fontId="3" fillId="0" borderId="7" xfId="0" applyNumberFormat="1" applyFont="1" applyBorder="1" applyAlignment="1">
      <alignment horizontal="center"/>
    </xf>
    <xf numFmtId="3" fontId="10" fillId="0" borderId="34" xfId="0" applyNumberFormat="1" applyFont="1" applyBorder="1" applyAlignment="1">
      <alignment horizontal="center"/>
    </xf>
    <xf numFmtId="3" fontId="3" fillId="0" borderId="35" xfId="0" applyNumberFormat="1" applyFont="1" applyBorder="1" applyAlignment="1">
      <alignment horizontal="center"/>
    </xf>
    <xf numFmtId="0" fontId="3" fillId="0" borderId="32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177" fontId="10" fillId="0" borderId="1" xfId="0" applyNumberFormat="1" applyFont="1" applyBorder="1"/>
    <xf numFmtId="3" fontId="27" fillId="0" borderId="1" xfId="0" applyNumberFormat="1" applyFont="1" applyBorder="1"/>
    <xf numFmtId="0" fontId="20" fillId="3" borderId="37" xfId="0" applyFont="1" applyFill="1" applyBorder="1" applyAlignment="1">
      <alignment horizontal="center" vertical="center"/>
    </xf>
    <xf numFmtId="0" fontId="20" fillId="3" borderId="38" xfId="0" applyFont="1" applyFill="1" applyBorder="1" applyAlignment="1">
      <alignment vertical="center"/>
    </xf>
    <xf numFmtId="0" fontId="29" fillId="0" borderId="40" xfId="0" applyFont="1" applyBorder="1" applyAlignment="1">
      <alignment horizontal="center" vertical="center"/>
    </xf>
    <xf numFmtId="0" fontId="30" fillId="0" borderId="41" xfId="1" applyFont="1" applyBorder="1" applyAlignment="1">
      <alignment vertical="center"/>
    </xf>
    <xf numFmtId="0" fontId="29" fillId="4" borderId="40" xfId="0" applyFont="1" applyFill="1" applyBorder="1" applyAlignment="1">
      <alignment horizontal="center" vertical="center"/>
    </xf>
    <xf numFmtId="0" fontId="30" fillId="4" borderId="41" xfId="1" applyFont="1" applyFill="1" applyBorder="1" applyAlignment="1">
      <alignment vertical="center"/>
    </xf>
    <xf numFmtId="0" fontId="29" fillId="4" borderId="43" xfId="0" applyFont="1" applyFill="1" applyBorder="1" applyAlignment="1">
      <alignment horizontal="center" vertical="center"/>
    </xf>
    <xf numFmtId="0" fontId="30" fillId="4" borderId="44" xfId="1" applyFont="1" applyFill="1" applyBorder="1" applyAlignment="1">
      <alignment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indent="1"/>
    </xf>
    <xf numFmtId="0" fontId="8" fillId="2" borderId="0" xfId="0" applyFont="1" applyFill="1" applyAlignment="1">
      <alignment horizontal="center" vertical="center" indent="1"/>
    </xf>
    <xf numFmtId="170" fontId="8" fillId="2" borderId="0" xfId="0" applyNumberFormat="1" applyFont="1" applyFill="1" applyAlignment="1">
      <alignment horizontal="center" vertical="center" indent="1"/>
    </xf>
    <xf numFmtId="9" fontId="8" fillId="2" borderId="0" xfId="0" applyNumberFormat="1" applyFont="1" applyFill="1" applyAlignment="1">
      <alignment horizontal="center" vertical="center" indent="1"/>
    </xf>
    <xf numFmtId="174" fontId="8" fillId="2" borderId="0" xfId="0" applyNumberFormat="1" applyFont="1" applyFill="1" applyAlignment="1">
      <alignment horizontal="center" vertical="center" indent="1"/>
    </xf>
    <xf numFmtId="172" fontId="8" fillId="2" borderId="0" xfId="0" applyNumberFormat="1" applyFont="1" applyFill="1" applyAlignment="1">
      <alignment horizontal="center" vertical="center" indent="1"/>
    </xf>
    <xf numFmtId="164" fontId="8" fillId="2" borderId="0" xfId="0" applyNumberFormat="1" applyFont="1" applyFill="1" applyAlignment="1">
      <alignment horizontal="center" vertical="center" indent="1"/>
    </xf>
    <xf numFmtId="164" fontId="8" fillId="2" borderId="7" xfId="0" applyNumberFormat="1" applyFont="1" applyFill="1" applyBorder="1" applyAlignment="1">
      <alignment horizontal="center" vertical="center" indent="1"/>
    </xf>
    <xf numFmtId="0" fontId="24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29" fillId="4" borderId="41" xfId="0" applyFont="1" applyFill="1" applyBorder="1" applyAlignment="1">
      <alignment vertical="center"/>
    </xf>
    <xf numFmtId="0" fontId="29" fillId="4" borderId="42" xfId="0" applyFont="1" applyFill="1" applyBorder="1" applyAlignment="1">
      <alignment vertical="center"/>
    </xf>
    <xf numFmtId="0" fontId="29" fillId="0" borderId="41" xfId="0" applyFont="1" applyBorder="1" applyAlignment="1">
      <alignment vertical="center"/>
    </xf>
    <xf numFmtId="0" fontId="29" fillId="0" borderId="42" xfId="0" applyFont="1" applyBorder="1" applyAlignment="1">
      <alignment vertical="center"/>
    </xf>
    <xf numFmtId="0" fontId="29" fillId="4" borderId="44" xfId="0" applyFont="1" applyFill="1" applyBorder="1" applyAlignment="1">
      <alignment vertical="center"/>
    </xf>
    <xf numFmtId="0" fontId="29" fillId="4" borderId="45" xfId="0" applyFont="1" applyFill="1" applyBorder="1" applyAlignment="1">
      <alignment vertical="center"/>
    </xf>
    <xf numFmtId="0" fontId="16" fillId="2" borderId="0" xfId="0" applyFont="1" applyFill="1" applyAlignment="1">
      <alignment horizontal="center" vertical="center"/>
    </xf>
    <xf numFmtId="0" fontId="0" fillId="2" borderId="0" xfId="0" applyFill="1"/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left" vertical="center" indent="1"/>
    </xf>
    <xf numFmtId="0" fontId="0" fillId="0" borderId="0" xfId="0"/>
    <xf numFmtId="0" fontId="20" fillId="3" borderId="38" xfId="0" applyFont="1" applyFill="1" applyBorder="1" applyAlignment="1">
      <alignment vertical="center"/>
    </xf>
    <xf numFmtId="0" fontId="20" fillId="3" borderId="39" xfId="0" applyFont="1" applyFill="1" applyBorder="1" applyAlignment="1">
      <alignment vertical="center"/>
    </xf>
    <xf numFmtId="0" fontId="8" fillId="2" borderId="25" xfId="0" applyFont="1" applyFill="1" applyBorder="1" applyAlignment="1">
      <alignment horizontal="left" vertical="center" indent="1"/>
    </xf>
    <xf numFmtId="2" fontId="8" fillId="2" borderId="0" xfId="0" applyNumberFormat="1" applyFont="1" applyFill="1" applyAlignment="1">
      <alignment horizontal="center" vertical="center" indent="1"/>
    </xf>
    <xf numFmtId="0" fontId="8" fillId="2" borderId="26" xfId="0" applyFont="1" applyFill="1" applyBorder="1" applyAlignment="1">
      <alignment horizontal="center" vertical="center" inden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center" indent="1"/>
    </xf>
    <xf numFmtId="9" fontId="8" fillId="2" borderId="15" xfId="0" applyNumberFormat="1" applyFont="1" applyFill="1" applyBorder="1" applyAlignment="1">
      <alignment horizontal="center" vertical="center" indent="1"/>
    </xf>
    <xf numFmtId="0" fontId="21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8" fillId="2" borderId="0" xfId="0" applyFont="1" applyFill="1" applyAlignment="1">
      <alignment vertical="center" indent="1"/>
    </xf>
    <xf numFmtId="0" fontId="28" fillId="7" borderId="0" xfId="0" applyFont="1" applyFill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/>
    </xf>
    <xf numFmtId="170" fontId="10" fillId="5" borderId="0" xfId="0" applyNumberFormat="1" applyFont="1" applyFill="1" applyBorder="1" applyAlignment="1">
      <alignment horizontal="center"/>
    </xf>
    <xf numFmtId="9" fontId="10" fillId="5" borderId="0" xfId="0" applyNumberFormat="1" applyFont="1" applyFill="1" applyBorder="1" applyAlignment="1">
      <alignment horizontal="center"/>
    </xf>
    <xf numFmtId="174" fontId="10" fillId="5" borderId="0" xfId="0" applyNumberFormat="1" applyFont="1" applyFill="1" applyBorder="1" applyAlignment="1">
      <alignment horizontal="center"/>
    </xf>
    <xf numFmtId="172" fontId="10" fillId="5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70" fontId="3" fillId="0" borderId="0" xfId="0" applyNumberFormat="1" applyFont="1" applyBorder="1" applyAlignment="1">
      <alignment horizontal="center"/>
    </xf>
    <xf numFmtId="9" fontId="3" fillId="0" borderId="0" xfId="0" applyNumberFormat="1" applyFont="1" applyBorder="1" applyAlignment="1">
      <alignment horizontal="center"/>
    </xf>
    <xf numFmtId="174" fontId="3" fillId="0" borderId="0" xfId="0" applyNumberFormat="1" applyFont="1" applyBorder="1" applyAlignment="1">
      <alignment horizontal="center"/>
    </xf>
    <xf numFmtId="172" fontId="3" fillId="0" borderId="0" xfId="0" applyNumberFormat="1" applyFont="1" applyBorder="1" applyAlignment="1">
      <alignment horizontal="center"/>
    </xf>
    <xf numFmtId="0" fontId="8" fillId="2" borderId="0" xfId="0" applyFont="1" applyFill="1" applyBorder="1" applyAlignment="1">
      <alignment horizontal="center" vertical="center" indent="1"/>
    </xf>
    <xf numFmtId="170" fontId="8" fillId="2" borderId="0" xfId="0" applyNumberFormat="1" applyFont="1" applyFill="1" applyBorder="1" applyAlignment="1">
      <alignment horizontal="center" vertical="center" indent="1"/>
    </xf>
    <xf numFmtId="9" fontId="8" fillId="2" borderId="0" xfId="0" applyNumberFormat="1" applyFont="1" applyFill="1" applyBorder="1" applyAlignment="1">
      <alignment horizontal="center" vertical="center" indent="1"/>
    </xf>
    <xf numFmtId="174" fontId="8" fillId="2" borderId="0" xfId="0" applyNumberFormat="1" applyFont="1" applyFill="1" applyBorder="1" applyAlignment="1">
      <alignment horizontal="center" vertical="center" indent="1"/>
    </xf>
    <xf numFmtId="172" fontId="8" fillId="2" borderId="0" xfId="0" applyNumberFormat="1" applyFont="1" applyFill="1" applyBorder="1" applyAlignment="1">
      <alignment horizontal="center" vertical="center" indent="1"/>
    </xf>
    <xf numFmtId="0" fontId="10" fillId="7" borderId="0" xfId="0" applyFont="1" applyFill="1" applyBorder="1" applyAlignment="1">
      <alignment horizontal="center"/>
    </xf>
    <xf numFmtId="170" fontId="10" fillId="7" borderId="0" xfId="0" applyNumberFormat="1" applyFont="1" applyFill="1" applyBorder="1" applyAlignment="1">
      <alignment horizontal="center"/>
    </xf>
    <xf numFmtId="9" fontId="10" fillId="7" borderId="0" xfId="0" applyNumberFormat="1" applyFont="1" applyFill="1" applyBorder="1" applyAlignment="1">
      <alignment horizontal="center"/>
    </xf>
    <xf numFmtId="174" fontId="10" fillId="7" borderId="0" xfId="0" applyNumberFormat="1" applyFont="1" applyFill="1" applyBorder="1" applyAlignment="1">
      <alignment horizontal="center"/>
    </xf>
    <xf numFmtId="172" fontId="10" fillId="7" borderId="0" xfId="0" applyNumberFormat="1" applyFont="1" applyFill="1" applyBorder="1" applyAlignment="1">
      <alignment horizontal="center"/>
    </xf>
    <xf numFmtId="0" fontId="11" fillId="2" borderId="46" xfId="0" applyFont="1" applyFill="1" applyBorder="1" applyAlignment="1">
      <alignment horizontal="center" vertical="center" wrapText="1"/>
    </xf>
    <xf numFmtId="0" fontId="11" fillId="2" borderId="47" xfId="0" applyFont="1" applyFill="1" applyBorder="1" applyAlignment="1">
      <alignment horizontal="center" vertical="center" wrapText="1"/>
    </xf>
    <xf numFmtId="0" fontId="11" fillId="2" borderId="48" xfId="0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0" fontId="11" fillId="2" borderId="50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left"/>
    </xf>
    <xf numFmtId="172" fontId="10" fillId="5" borderId="7" xfId="0" applyNumberFormat="1" applyFont="1" applyFill="1" applyBorder="1" applyAlignment="1">
      <alignment horizontal="center"/>
    </xf>
    <xf numFmtId="172" fontId="3" fillId="0" borderId="7" xfId="0" applyNumberFormat="1" applyFont="1" applyBorder="1" applyAlignment="1">
      <alignment horizontal="center"/>
    </xf>
    <xf numFmtId="172" fontId="8" fillId="2" borderId="7" xfId="0" applyNumberFormat="1" applyFont="1" applyFill="1" applyBorder="1" applyAlignment="1">
      <alignment horizontal="center" vertical="center" indent="1"/>
    </xf>
    <xf numFmtId="172" fontId="10" fillId="7" borderId="34" xfId="0" applyNumberFormat="1" applyFont="1" applyFill="1" applyBorder="1" applyAlignment="1">
      <alignment horizontal="center"/>
    </xf>
    <xf numFmtId="172" fontId="10" fillId="7" borderId="7" xfId="0" applyNumberFormat="1" applyFont="1" applyFill="1" applyBorder="1" applyAlignment="1">
      <alignment horizontal="center"/>
    </xf>
    <xf numFmtId="172" fontId="10" fillId="7" borderId="35" xfId="0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33" fillId="0" borderId="0" xfId="0" applyFont="1" applyAlignment="1">
      <alignment horizontal="right"/>
    </xf>
    <xf numFmtId="0" fontId="34" fillId="0" borderId="0" xfId="0" applyFont="1"/>
    <xf numFmtId="0" fontId="34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177" fontId="3" fillId="0" borderId="0" xfId="0" applyNumberFormat="1" applyFont="1" applyBorder="1"/>
    <xf numFmtId="0" fontId="35" fillId="2" borderId="3" xfId="0" applyFont="1" applyFill="1" applyBorder="1" applyAlignment="1">
      <alignment horizontal="center" wrapText="1"/>
    </xf>
    <xf numFmtId="0" fontId="8" fillId="2" borderId="3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35" fillId="2" borderId="3" xfId="0" applyFont="1" applyFill="1" applyBorder="1" applyAlignment="1">
      <alignment vertical="center"/>
    </xf>
    <xf numFmtId="3" fontId="26" fillId="0" borderId="0" xfId="0" applyNumberFormat="1" applyFont="1" applyBorder="1"/>
    <xf numFmtId="0" fontId="35" fillId="2" borderId="51" xfId="0" applyFont="1" applyFill="1" applyBorder="1" applyAlignment="1">
      <alignment vertical="center"/>
    </xf>
    <xf numFmtId="0" fontId="35" fillId="2" borderId="52" xfId="0" applyFont="1" applyFill="1" applyBorder="1" applyAlignment="1">
      <alignment horizontal="center"/>
    </xf>
    <xf numFmtId="177" fontId="3" fillId="0" borderId="52" xfId="0" applyNumberFormat="1" applyFont="1" applyBorder="1"/>
    <xf numFmtId="177" fontId="10" fillId="0" borderId="53" xfId="0" applyNumberFormat="1" applyFont="1" applyBorder="1"/>
    <xf numFmtId="0" fontId="8" fillId="2" borderId="54" xfId="0" applyFont="1" applyFill="1" applyBorder="1" applyAlignment="1">
      <alignment horizontal="center" vertical="center"/>
    </xf>
    <xf numFmtId="0" fontId="0" fillId="0" borderId="55" xfId="0" applyBorder="1"/>
    <xf numFmtId="181" fontId="36" fillId="8" borderId="56" xfId="0" applyNumberFormat="1" applyFont="1" applyFill="1" applyBorder="1" applyAlignment="1">
      <alignment horizontal="centerContinuous" vertical="center"/>
    </xf>
    <xf numFmtId="0" fontId="3" fillId="0" borderId="57" xfId="0" applyFont="1" applyBorder="1" applyAlignment="1">
      <alignment horizontal="centerContinuous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00206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Implied Valuation — Football Field  ($ / share)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00206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Valuation!$D$46</c:f>
              <c:strCache>
                <c:ptCount val="1"/>
                <c:pt idx="0">
                  <c:v>Base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Valuation!$C$47:$C$51</c:f>
              <c:strCache>
                <c:ptCount val="5"/>
                <c:pt idx="0">
                  <c:v>Current Share Price   ($218)</c:v>
                </c:pt>
                <c:pt idx="1">
                  <c:v>52-Week Trading Range   ($190 – $387)</c:v>
                </c:pt>
                <c:pt idx="2">
                  <c:v>EV / EBITDA — Comps Median   ($446 – $543)</c:v>
                </c:pt>
                <c:pt idx="3">
                  <c:v>P / E — Comps Median   ($429 – $482)</c:v>
                </c:pt>
                <c:pt idx="4">
                  <c:v>DEFINITIVE VALUATION RANGE   ($446 – $482  |  Mid $464)</c:v>
                </c:pt>
              </c:strCache>
            </c:strRef>
          </c:cat>
          <c:val>
            <c:numRef>
              <c:f>Valuation!$D$47:$D$51</c:f>
              <c:numCache>
                <c:formatCode>General</c:formatCode>
                <c:ptCount val="5"/>
                <c:pt idx="0">
                  <c:v>215</c:v>
                </c:pt>
                <c:pt idx="1">
                  <c:v>190.12</c:v>
                </c:pt>
                <c:pt idx="2">
                  <c:v>445.91290807249226</c:v>
                </c:pt>
                <c:pt idx="3">
                  <c:v>428.8525979655671</c:v>
                </c:pt>
                <c:pt idx="4">
                  <c:v>445.91290807249226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B-4D7D-9AC7-E3AE312D530C}"/>
            </c:ext>
          </c:extLst>
        </c:ser>
        <c:ser>
          <c:idx val="1"/>
          <c:order val="1"/>
          <c:tx>
            <c:strRef>
              <c:f>Valuation!$E$46</c:f>
              <c:strCache>
                <c:ptCount val="1"/>
                <c:pt idx="0">
                  <c:v>Range (below mid)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</c:spPr>
          <c:invertIfNegative val="0"/>
          <c:cat>
            <c:strRef>
              <c:f>Valuation!$C$47:$C$51</c:f>
              <c:strCache>
                <c:ptCount val="5"/>
                <c:pt idx="0">
                  <c:v>Current Share Price   ($218)</c:v>
                </c:pt>
                <c:pt idx="1">
                  <c:v>52-Week Trading Range   ($190 – $387)</c:v>
                </c:pt>
                <c:pt idx="2">
                  <c:v>EV / EBITDA — Comps Median   ($446 – $543)</c:v>
                </c:pt>
                <c:pt idx="3">
                  <c:v>P / E — Comps Median   ($429 – $482)</c:v>
                </c:pt>
                <c:pt idx="4">
                  <c:v>DEFINITIVE VALUATION RANGE   ($446 – $482  |  Mid $464)</c:v>
                </c:pt>
              </c:strCache>
            </c:strRef>
          </c:cat>
          <c:val>
            <c:numRef>
              <c:f>Valuation!$E$47:$E$51</c:f>
              <c:numCache>
                <c:formatCode>General</c:formatCode>
                <c:ptCount val="5"/>
                <c:pt idx="0">
                  <c:v>0</c:v>
                </c:pt>
                <c:pt idx="1">
                  <c:v>95.240000000000009</c:v>
                </c:pt>
                <c:pt idx="2">
                  <c:v>45.3094415673649</c:v>
                </c:pt>
                <c:pt idx="3">
                  <c:v>23.340321056681148</c:v>
                </c:pt>
                <c:pt idx="4">
                  <c:v>14.810166003218512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6B-4D7D-9AC7-E3AE312D530C}"/>
            </c:ext>
          </c:extLst>
        </c:ser>
        <c:ser>
          <c:idx val="2"/>
          <c:order val="2"/>
          <c:tx>
            <c:strRef>
              <c:f>Valuation!$F$46</c:f>
              <c:strCache>
                <c:ptCount val="1"/>
                <c:pt idx="0">
                  <c:v>Midpoint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Valuation!$C$47:$C$51</c:f>
              <c:strCache>
                <c:ptCount val="5"/>
                <c:pt idx="0">
                  <c:v>Current Share Price   ($218)</c:v>
                </c:pt>
                <c:pt idx="1">
                  <c:v>52-Week Trading Range   ($190 – $387)</c:v>
                </c:pt>
                <c:pt idx="2">
                  <c:v>EV / EBITDA — Comps Median   ($446 – $543)</c:v>
                </c:pt>
                <c:pt idx="3">
                  <c:v>P / E — Comps Median   ($429 – $482)</c:v>
                </c:pt>
                <c:pt idx="4">
                  <c:v>DEFINITIVE VALUATION RANGE   ($446 – $482  |  Mid $464)</c:v>
                </c:pt>
              </c:strCache>
            </c:strRef>
          </c:cat>
          <c:val>
            <c:numRef>
              <c:f>Valuation!$F$47:$F$51</c:f>
              <c:numCache>
                <c:formatCode>General</c:formatCode>
                <c:ptCount val="5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26-4FE8-B7EB-A447601B9FC7}"/>
            </c:ext>
          </c:extLst>
        </c:ser>
        <c:ser>
          <c:idx val="3"/>
          <c:order val="3"/>
          <c:tx>
            <c:strRef>
              <c:f>Valuation!$G$46</c:f>
              <c:strCache>
                <c:ptCount val="1"/>
                <c:pt idx="0">
                  <c:v>Range (above mid)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</c:spPr>
          <c:invertIfNegative val="0"/>
          <c:cat>
            <c:strRef>
              <c:f>Valuation!$C$47:$C$51</c:f>
              <c:strCache>
                <c:ptCount val="5"/>
                <c:pt idx="0">
                  <c:v>Current Share Price   ($218)</c:v>
                </c:pt>
                <c:pt idx="1">
                  <c:v>52-Week Trading Range   ($190 – $387)</c:v>
                </c:pt>
                <c:pt idx="2">
                  <c:v>EV / EBITDA — Comps Median   ($446 – $543)</c:v>
                </c:pt>
                <c:pt idx="3">
                  <c:v>P / E — Comps Median   ($429 – $482)</c:v>
                </c:pt>
                <c:pt idx="4">
                  <c:v>DEFINITIVE VALUATION RANGE   ($446 – $482  |  Mid $464)</c:v>
                </c:pt>
              </c:strCache>
            </c:strRef>
          </c:cat>
          <c:val>
            <c:numRef>
              <c:f>Valuation!$G$47:$G$51</c:f>
              <c:numCache>
                <c:formatCode>General</c:formatCode>
                <c:ptCount val="5"/>
                <c:pt idx="0">
                  <c:v>0</c:v>
                </c:pt>
                <c:pt idx="1">
                  <c:v>95.240000000000009</c:v>
                </c:pt>
                <c:pt idx="2">
                  <c:v>45.309441567364956</c:v>
                </c:pt>
                <c:pt idx="3">
                  <c:v>23.340321056681091</c:v>
                </c:pt>
                <c:pt idx="4">
                  <c:v>14.810166003218569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26-4FE8-B7EB-A447601B9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198255631"/>
        <c:axId val="1032257871"/>
      </c:barChart>
      <c:catAx>
        <c:axId val="11982556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032257871"/>
        <c:crosses val="autoZero"/>
        <c:auto val="1"/>
        <c:lblAlgn val="ctr"/>
        <c:lblOffset val="100"/>
        <c:noMultiLvlLbl val="0"/>
      </c:catAx>
      <c:valAx>
        <c:axId val="1032257871"/>
        <c:scaling>
          <c:orientation val="minMax"/>
          <c:max val="6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$-409]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98255631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44</xdr:row>
      <xdr:rowOff>0</xdr:rowOff>
    </xdr:from>
    <xdr:to>
      <xdr:col>11</xdr:col>
      <xdr:colOff>0</xdr:colOff>
      <xdr:row>64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F998C9D-8178-BD3B-93BA-24551FA0EC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evansh Wadhwani" id="{A46F9056-6861-42C9-9D7D-FE86399C2FFE}" userId="309cbd7fb6392cad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4" dT="2026-07-09T09:00:48.94" personId="{A46F9056-6861-42C9-9D7D-FE86399C2FFE}" id="{1DD8352E-4E32-4EE2-B8C7-4A7D22BF1B57}">
    <text>5-year market beta. Source: Yahoo Finance / stockanalysis.com, as of Jul 2026.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G14" dT="2026-07-09T09:00:48.95" personId="{A46F9056-6861-42C9-9D7D-FE86399C2FFE}" id="{49B23E07-D903-44CF-82AA-CD73631FAAF0}">
    <text>5-year market beta. Source: stockanalysis.com, as of Jul 2026.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G14" dT="2026-07-09T09:00:49.00" personId="{A46F9056-6861-42C9-9D7D-FE86399C2FFE}" id="{579EC725-9253-4601-8091-541A15C77180}">
    <text>Beta proxy (~peer average). Figma IPO'd July 2025 and lacks a 5-year trading history for a market beta; using a comparable-set proxy.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G14" dT="2026-07-09T09:00:48.96" personId="{A46F9056-6861-42C9-9D7D-FE86399C2FFE}" id="{7027CE0A-39A3-4FAE-A802-D11DFDD1D990}">
    <text>5-year market beta. Source: stockanalysis.com, as of Jul 2026.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G14" dT="2026-07-09T09:00:48.97" personId="{A46F9056-6861-42C9-9D7D-FE86399C2FFE}" id="{6EFFB3CE-9E3F-4165-9F03-39ACE6E203BC}">
    <text>5-year market beta. Source: Investing.com, as of Jul 2026.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G14" dT="2026-07-09T09:00:48.98" personId="{A46F9056-6861-42C9-9D7D-FE86399C2FFE}" id="{44CECE7B-8D9C-442A-8738-7A7D1C04B8A7}">
    <text>5-year market beta. Source: stockanalysis.com, as of Jul 2026.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G14" dT="2026-07-09T09:00:48.99" personId="{A46F9056-6861-42C9-9D7D-FE86399C2FFE}" id="{D1B08DDA-109F-4042-9DEF-D0F4341228F6}">
    <text>5-year market beta. Source: stockanalysis.com, as of Jul 2026.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70566B2-0DAD-4A6A-A843-234F139C76BB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1bce485e-b148-4282-b075-3da43060ad9c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Relationship Id="rId4" Type="http://schemas.microsoft.com/office/2017/10/relationships/threadedComment" Target="../threadedComments/threadedComment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Relationship Id="rId4" Type="http://schemas.microsoft.com/office/2017/10/relationships/threadedComment" Target="../threadedComments/threadedComment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Relationship Id="rId4" Type="http://schemas.microsoft.com/office/2017/10/relationships/threadedComment" Target="../threadedComments/threadedComment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A3D0A-376C-432F-A731-45FD74FBC2C9}">
  <sheetPr>
    <pageSetUpPr fitToPage="1"/>
  </sheetPr>
  <dimension ref="A1:Z60"/>
  <sheetViews>
    <sheetView showGridLines="0" workbookViewId="0">
      <selection activeCell="C17" sqref="C17"/>
    </sheetView>
  </sheetViews>
  <sheetFormatPr defaultRowHeight="13.8" x14ac:dyDescent="0.25"/>
  <cols>
    <col min="1" max="1" width="3.33203125" style="1" customWidth="1"/>
    <col min="2" max="2" width="6.33203125" style="1" customWidth="1"/>
    <col min="3" max="3" width="30.5546875" style="1" customWidth="1"/>
    <col min="4" max="8" width="11.44140625" style="1" customWidth="1"/>
    <col min="9" max="16384" width="8.88671875" style="1"/>
  </cols>
  <sheetData>
    <row r="1" spans="1:26" ht="14.4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26" ht="43.95" customHeight="1" x14ac:dyDescent="0.3">
      <c r="A2"/>
      <c r="B2" s="206" t="s">
        <v>148</v>
      </c>
      <c r="C2" s="207"/>
      <c r="D2" s="207"/>
      <c r="E2" s="207"/>
      <c r="F2" s="207"/>
      <c r="G2" s="207"/>
      <c r="H2" s="207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 ht="25.95" customHeight="1" x14ac:dyDescent="0.3">
      <c r="A3"/>
      <c r="B3" s="208" t="s">
        <v>178</v>
      </c>
      <c r="C3" s="207"/>
      <c r="D3" s="207"/>
      <c r="E3" s="207"/>
      <c r="F3" s="207"/>
      <c r="G3" s="207"/>
      <c r="H3" s="207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 ht="18" customHeight="1" x14ac:dyDescent="0.3">
      <c r="A4"/>
      <c r="B4" s="209" t="s">
        <v>179</v>
      </c>
      <c r="C4" s="207"/>
      <c r="D4" s="207"/>
      <c r="E4" s="207"/>
      <c r="F4" s="207"/>
      <c r="G4" s="207"/>
      <c r="H4" s="207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 ht="14.4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 ht="14.4" x14ac:dyDescent="0.3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ht="14.4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 ht="28.05" customHeight="1" x14ac:dyDescent="0.3">
      <c r="A8"/>
      <c r="B8" s="210" t="s">
        <v>180</v>
      </c>
      <c r="C8" s="211"/>
      <c r="D8" s="211"/>
      <c r="E8" s="211"/>
      <c r="F8" s="211"/>
      <c r="G8" s="211"/>
      <c r="H8" s="211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 ht="22.05" customHeight="1" x14ac:dyDescent="0.3">
      <c r="A9"/>
      <c r="B9" s="172" t="s">
        <v>181</v>
      </c>
      <c r="C9" s="173" t="s">
        <v>182</v>
      </c>
      <c r="D9" s="212" t="s">
        <v>183</v>
      </c>
      <c r="E9" s="212"/>
      <c r="F9" s="212"/>
      <c r="G9" s="212"/>
      <c r="H9" s="213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ht="22.05" customHeight="1" x14ac:dyDescent="0.3">
      <c r="A10"/>
      <c r="B10" s="174">
        <v>1</v>
      </c>
      <c r="C10" s="175" t="s">
        <v>184</v>
      </c>
      <c r="D10" s="202" t="s">
        <v>282</v>
      </c>
      <c r="E10" s="202"/>
      <c r="F10" s="202"/>
      <c r="G10" s="202"/>
      <c r="H10" s="203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ht="22.05" customHeight="1" x14ac:dyDescent="0.3">
      <c r="A11"/>
      <c r="B11" s="176">
        <v>2</v>
      </c>
      <c r="C11" s="177" t="s">
        <v>283</v>
      </c>
      <c r="D11" s="200" t="s">
        <v>284</v>
      </c>
      <c r="E11" s="200"/>
      <c r="F11" s="200"/>
      <c r="G11" s="200"/>
      <c r="H11" s="20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ht="22.05" customHeight="1" x14ac:dyDescent="0.3">
      <c r="A12"/>
      <c r="B12" s="174">
        <v>3</v>
      </c>
      <c r="C12" s="175" t="s">
        <v>285</v>
      </c>
      <c r="D12" s="202" t="s">
        <v>286</v>
      </c>
      <c r="E12" s="202"/>
      <c r="F12" s="202"/>
      <c r="G12" s="202"/>
      <c r="H12" s="203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ht="22.05" customHeight="1" x14ac:dyDescent="0.3">
      <c r="A13"/>
      <c r="B13" s="176">
        <v>4</v>
      </c>
      <c r="C13" s="177" t="s">
        <v>186</v>
      </c>
      <c r="D13" s="200" t="s">
        <v>185</v>
      </c>
      <c r="E13" s="200"/>
      <c r="F13" s="200"/>
      <c r="G13" s="200"/>
      <c r="H13" s="201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 ht="22.05" customHeight="1" x14ac:dyDescent="0.3">
      <c r="A14"/>
      <c r="B14" s="174">
        <v>5</v>
      </c>
      <c r="C14" s="175" t="s">
        <v>187</v>
      </c>
      <c r="D14" s="202" t="s">
        <v>172</v>
      </c>
      <c r="E14" s="202"/>
      <c r="F14" s="202"/>
      <c r="G14" s="202"/>
      <c r="H14" s="203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ht="22.05" customHeight="1" x14ac:dyDescent="0.3">
      <c r="A15"/>
      <c r="B15" s="176">
        <v>6</v>
      </c>
      <c r="C15" s="177" t="s">
        <v>188</v>
      </c>
      <c r="D15" s="200" t="s">
        <v>173</v>
      </c>
      <c r="E15" s="200"/>
      <c r="F15" s="200"/>
      <c r="G15" s="200"/>
      <c r="H15" s="201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ht="22.05" customHeight="1" x14ac:dyDescent="0.3">
      <c r="A16"/>
      <c r="B16" s="174">
        <v>7</v>
      </c>
      <c r="C16" s="175" t="s">
        <v>189</v>
      </c>
      <c r="D16" s="202" t="s">
        <v>174</v>
      </c>
      <c r="E16" s="202"/>
      <c r="F16" s="202"/>
      <c r="G16" s="202"/>
      <c r="H16" s="203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ht="22.05" customHeight="1" x14ac:dyDescent="0.3">
      <c r="A17"/>
      <c r="B17" s="176">
        <v>8</v>
      </c>
      <c r="C17" s="177" t="s">
        <v>190</v>
      </c>
      <c r="D17" s="200" t="s">
        <v>175</v>
      </c>
      <c r="E17" s="200"/>
      <c r="F17" s="200"/>
      <c r="G17" s="200"/>
      <c r="H17" s="201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ht="22.05" customHeight="1" x14ac:dyDescent="0.3">
      <c r="A18"/>
      <c r="B18" s="174">
        <v>9</v>
      </c>
      <c r="C18" s="175" t="s">
        <v>191</v>
      </c>
      <c r="D18" s="202" t="s">
        <v>176</v>
      </c>
      <c r="E18" s="202"/>
      <c r="F18" s="202"/>
      <c r="G18" s="202"/>
      <c r="H18" s="203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ht="22.05" customHeight="1" x14ac:dyDescent="0.3">
      <c r="A19"/>
      <c r="B19" s="178">
        <v>10</v>
      </c>
      <c r="C19" s="179" t="s">
        <v>192</v>
      </c>
      <c r="D19" s="204" t="s">
        <v>177</v>
      </c>
      <c r="E19" s="204"/>
      <c r="F19" s="204"/>
      <c r="G19" s="204"/>
      <c r="H19" s="205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ht="14.4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ht="14.4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ht="14.4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ht="14.4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ht="14.4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ht="14.4" x14ac:dyDescent="0.3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 ht="14.4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 ht="14.4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 ht="14.4" x14ac:dyDescent="0.3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 ht="14.4" x14ac:dyDescent="0.3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 ht="14.4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 ht="14.4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 ht="14.4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 ht="14.4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 ht="14.4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 ht="14.4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 ht="14.4" x14ac:dyDescent="0.3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 ht="14.4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 ht="14.4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 ht="14.4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1:26" ht="14.4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1:26" ht="14.4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 ht="14.4" x14ac:dyDescent="0.3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1:26" ht="14.4" x14ac:dyDescent="0.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 ht="14.4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 ht="14.4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 ht="14.4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 ht="14.4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 ht="14.4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1:26" ht="14.4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 ht="14.4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 ht="14.4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 ht="14.4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 ht="14.4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 ht="14.4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 ht="14.4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</row>
    <row r="56" spans="1:26" ht="14.4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26" ht="14.4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</row>
    <row r="58" spans="1:26" ht="14.4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</row>
    <row r="59" spans="1:26" ht="14.4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 ht="14.4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</row>
  </sheetData>
  <mergeCells count="15">
    <mergeCell ref="D10:H10"/>
    <mergeCell ref="B2:H2"/>
    <mergeCell ref="B3:H3"/>
    <mergeCell ref="B4:H4"/>
    <mergeCell ref="B8:H8"/>
    <mergeCell ref="D9:H9"/>
    <mergeCell ref="D17:H17"/>
    <mergeCell ref="D18:H18"/>
    <mergeCell ref="D19:H19"/>
    <mergeCell ref="D11:H11"/>
    <mergeCell ref="D12:H12"/>
    <mergeCell ref="D13:H13"/>
    <mergeCell ref="D14:H14"/>
    <mergeCell ref="D15:H15"/>
    <mergeCell ref="D16:H16"/>
  </mergeCells>
  <hyperlinks>
    <hyperlink ref="C10" location="'Output Page'!A1" display="Output Page" xr:uid="{5BF804C0-B308-4D4D-B918-A9AC958BD90D}"/>
    <hyperlink ref="C11" location="'Benchmarking'!A1" display="Benchmarking" xr:uid="{FD74CE01-DFB0-4E2E-8584-667E51EDEBC1}"/>
    <hyperlink ref="C12" location="'Valuation'!A1" display="Valuation" xr:uid="{8AE10CE2-F21F-4544-BC7B-A0D0ED9D0621}"/>
    <hyperlink ref="C13" location="'Input Page-ADBE'!A1" display="Input Page-ADBE" xr:uid="{06CB18D3-F63F-4588-8CDA-6C3C9337C9E5}"/>
    <hyperlink ref="C14" location="'Input Page-ADSK'!A1" display="Input Page-ADSK" xr:uid="{EEEB1AE4-C2A1-49FF-A6EE-B155B3F3763A}"/>
    <hyperlink ref="C15" location="'Input Page-CRM'!A1" display="Input Page-CRM" xr:uid="{72BED574-DEEC-4D9A-A3AD-67C2B3267F44}"/>
    <hyperlink ref="C16" location="'Input Page-HUBS'!A1" display="Input Page-HUBS" xr:uid="{47F2C9E6-9D53-4C1C-8FE5-A17B707FDB28}"/>
    <hyperlink ref="C17" location="'Input Page-DOCU'!A1" display="Input Page-DOCU" xr:uid="{9BCF9748-8363-43E5-A229-01ACDCB98D24}"/>
    <hyperlink ref="C18" location="'Input Page-DBX'!A1" display="Input Page-DBX" xr:uid="{EA8979D3-CECC-473E-BD12-1DA57169C5AA}"/>
    <hyperlink ref="C19" location="'Input Page-FIG'!A1" display="Input Page-FIG" xr:uid="{7C78338F-533E-4631-AD84-5B048C0141C0}"/>
  </hyperlinks>
  <printOptions horizontalCentered="1"/>
  <pageMargins left="0.5" right="0.5" top="0.6" bottom="0.6" header="0.3" footer="0.3"/>
  <pageSetup orientation="portrait" r:id="rId1"/>
  <headerFooter>
    <oddHeader>&amp;L&amp;"Times New Roman"&amp;9 Adobe Inc. (ADBE) — Trading Comparables&amp;R&amp;"Times New Roman"&amp;9&amp;A</oddHeader>
    <oddFooter>&amp;L&amp;"Times New Roman"&amp;8 Confidential&amp;C&amp;"Times New Roman"&amp;8 Page &amp;P of &amp;N&amp;R&amp;"Times New Roman"&amp;8 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F8D4D-66B3-473B-890A-C6E45F1E45FB}">
  <sheetPr>
    <pageSetUpPr fitToPage="1"/>
  </sheetPr>
  <dimension ref="B3:U202"/>
  <sheetViews>
    <sheetView showGridLines="0" topLeftCell="A2" zoomScale="99" workbookViewId="0">
      <selection activeCell="Q59" sqref="Q59"/>
    </sheetView>
  </sheetViews>
  <sheetFormatPr defaultRowHeight="13.8" x14ac:dyDescent="0.25"/>
  <cols>
    <col min="1" max="1" width="8.88671875" style="1"/>
    <col min="2" max="2" width="2.5546875" style="1" customWidth="1"/>
    <col min="3" max="3" width="37" style="1" customWidth="1"/>
    <col min="4" max="7" width="11.109375" style="1" customWidth="1"/>
    <col min="8" max="8" width="2.21875" style="1" customWidth="1"/>
    <col min="9" max="9" width="38" style="1" customWidth="1"/>
    <col min="10" max="15" width="10.33203125" style="1" customWidth="1"/>
    <col min="16" max="16" width="2.21875" style="1" customWidth="1"/>
    <col min="17" max="17" width="38" style="1" customWidth="1"/>
    <col min="18" max="21" width="11.44140625" style="1" customWidth="1"/>
    <col min="22" max="16384" width="8.88671875" style="1"/>
  </cols>
  <sheetData>
    <row r="3" spans="2:21" ht="22.05" customHeight="1" x14ac:dyDescent="0.3">
      <c r="B3" s="2"/>
      <c r="C3" s="3" t="s">
        <v>175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1" ht="14.4" x14ac:dyDescent="0.3">
      <c r="B4" s="2"/>
      <c r="C4" s="5" t="s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2:21" x14ac:dyDescent="0.25">
      <c r="B5" s="2"/>
      <c r="C5" s="6" t="s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21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21" x14ac:dyDescent="0.25">
      <c r="B7" s="2"/>
      <c r="C7" s="7" t="s">
        <v>2</v>
      </c>
      <c r="D7" s="7"/>
      <c r="E7" s="7"/>
      <c r="F7" s="7"/>
      <c r="G7" s="7"/>
      <c r="H7" s="2"/>
      <c r="I7" s="7" t="s">
        <v>52</v>
      </c>
      <c r="J7" s="7"/>
      <c r="K7" s="7"/>
      <c r="L7" s="7"/>
      <c r="M7" s="7"/>
      <c r="N7" s="7"/>
      <c r="O7" s="7"/>
      <c r="P7" s="2"/>
      <c r="Q7" s="7" t="s">
        <v>93</v>
      </c>
      <c r="R7" s="7"/>
      <c r="S7" s="7"/>
      <c r="T7" s="8" t="s">
        <v>153</v>
      </c>
      <c r="U7" s="50">
        <f>DATE(2026,4,30)</f>
        <v>46142</v>
      </c>
    </row>
    <row r="8" spans="2:21" x14ac:dyDescent="0.25">
      <c r="B8" s="2"/>
      <c r="C8" s="2" t="s">
        <v>3</v>
      </c>
      <c r="D8" s="2"/>
      <c r="E8" s="2"/>
      <c r="F8" s="2"/>
      <c r="G8" s="9" t="s">
        <v>165</v>
      </c>
      <c r="H8" s="2"/>
      <c r="I8" s="2"/>
      <c r="J8" s="10" t="s">
        <v>53</v>
      </c>
      <c r="K8" s="2"/>
      <c r="L8" s="2"/>
      <c r="M8" s="2"/>
      <c r="N8" s="2"/>
      <c r="O8" s="2"/>
      <c r="P8" s="2"/>
      <c r="Q8" s="2" t="s">
        <v>94</v>
      </c>
      <c r="R8" s="2"/>
      <c r="S8" s="2"/>
      <c r="T8" s="41">
        <v>877.3</v>
      </c>
      <c r="U8" s="41">
        <v>814.2</v>
      </c>
    </row>
    <row r="9" spans="2:21" x14ac:dyDescent="0.25">
      <c r="B9" s="2"/>
      <c r="C9" s="2" t="s">
        <v>4</v>
      </c>
      <c r="D9" s="2"/>
      <c r="E9" s="2"/>
      <c r="F9" s="2"/>
      <c r="G9" s="9" t="s">
        <v>166</v>
      </c>
      <c r="H9" s="2"/>
      <c r="I9" s="2"/>
      <c r="J9" s="11" t="s">
        <v>151</v>
      </c>
      <c r="K9" s="11" t="s">
        <v>152</v>
      </c>
      <c r="L9" s="11" t="s">
        <v>153</v>
      </c>
      <c r="M9" s="11" t="s">
        <v>54</v>
      </c>
      <c r="N9" s="11" t="s">
        <v>55</v>
      </c>
      <c r="O9" s="11" t="s">
        <v>26</v>
      </c>
      <c r="P9" s="2"/>
      <c r="Q9" s="2" t="s">
        <v>95</v>
      </c>
      <c r="R9" s="2"/>
      <c r="S9" s="2"/>
      <c r="T9" s="41">
        <v>516.4</v>
      </c>
      <c r="U9" s="41">
        <v>308.7</v>
      </c>
    </row>
    <row r="10" spans="2:21" x14ac:dyDescent="0.25">
      <c r="B10" s="2"/>
      <c r="C10" s="2" t="s">
        <v>5</v>
      </c>
      <c r="D10" s="2"/>
      <c r="E10" s="2"/>
      <c r="F10" s="2"/>
      <c r="G10" s="9" t="s">
        <v>6</v>
      </c>
      <c r="H10" s="2"/>
      <c r="I10" s="2"/>
      <c r="J10" s="12"/>
      <c r="K10" s="12"/>
      <c r="L10" s="12"/>
      <c r="M10" s="49">
        <f>DATE(2025,4,30)</f>
        <v>45777</v>
      </c>
      <c r="N10" s="49">
        <f>DATE(2026,4,30)</f>
        <v>46142</v>
      </c>
      <c r="O10" s="49">
        <f>DATE(2026,4,30)</f>
        <v>46142</v>
      </c>
      <c r="P10" s="2"/>
      <c r="Q10" s="2" t="s">
        <v>96</v>
      </c>
      <c r="R10" s="2"/>
      <c r="S10" s="2"/>
      <c r="T10" s="41">
        <v>0</v>
      </c>
      <c r="U10" s="41">
        <v>0</v>
      </c>
    </row>
    <row r="11" spans="2:21" x14ac:dyDescent="0.25">
      <c r="B11" s="2"/>
      <c r="C11" s="2" t="s">
        <v>7</v>
      </c>
      <c r="D11" s="2"/>
      <c r="E11" s="2"/>
      <c r="F11" s="2"/>
      <c r="G11" s="13" t="s">
        <v>159</v>
      </c>
      <c r="H11" s="2"/>
      <c r="I11" s="2" t="s">
        <v>43</v>
      </c>
      <c r="J11" s="41">
        <v>2686.7</v>
      </c>
      <c r="K11" s="41">
        <v>2901.3</v>
      </c>
      <c r="L11" s="41">
        <v>3150.6</v>
      </c>
      <c r="M11" s="41">
        <v>763.7</v>
      </c>
      <c r="N11" s="41">
        <v>830.2</v>
      </c>
      <c r="O11" s="41">
        <f>L11+N11-M11</f>
        <v>3217.1000000000004</v>
      </c>
      <c r="P11" s="2"/>
      <c r="Q11" s="2" t="s">
        <v>97</v>
      </c>
      <c r="R11" s="2"/>
      <c r="S11" s="2"/>
      <c r="T11" s="41">
        <v>97.1</v>
      </c>
      <c r="U11" s="41">
        <v>132.69999999999999</v>
      </c>
    </row>
    <row r="12" spans="2:21" x14ac:dyDescent="0.25">
      <c r="B12" s="2"/>
      <c r="C12" s="2" t="s">
        <v>8</v>
      </c>
      <c r="D12" s="2"/>
      <c r="E12" s="2"/>
      <c r="F12" s="2"/>
      <c r="G12" s="9" t="s">
        <v>9</v>
      </c>
      <c r="H12" s="2"/>
      <c r="I12" s="2" t="s">
        <v>56</v>
      </c>
      <c r="J12" s="41">
        <v>497.4</v>
      </c>
      <c r="K12" s="41">
        <v>546.20000000000005</v>
      </c>
      <c r="L12" s="41">
        <v>594.1</v>
      </c>
      <c r="M12" s="41">
        <v>157.30000000000001</v>
      </c>
      <c r="N12" s="41">
        <v>171.3</v>
      </c>
      <c r="O12" s="41">
        <f>L12+N12-M12</f>
        <v>608.10000000000014</v>
      </c>
      <c r="P12" s="2"/>
      <c r="Q12" s="14" t="s">
        <v>98</v>
      </c>
      <c r="R12" s="2"/>
      <c r="S12" s="2"/>
      <c r="T12" s="15">
        <f>SUM(T8:T11)</f>
        <v>1490.7999999999997</v>
      </c>
      <c r="U12" s="15">
        <f>SUM(U8:U11)</f>
        <v>1255.6000000000001</v>
      </c>
    </row>
    <row r="13" spans="2:21" x14ac:dyDescent="0.25">
      <c r="B13" s="2"/>
      <c r="C13" s="2" t="s">
        <v>10</v>
      </c>
      <c r="D13" s="2"/>
      <c r="E13" s="2"/>
      <c r="F13" s="2"/>
      <c r="G13" s="9" t="s">
        <v>9</v>
      </c>
      <c r="H13" s="2"/>
      <c r="I13" s="14" t="s">
        <v>57</v>
      </c>
      <c r="J13" s="15">
        <f>J11-J12</f>
        <v>2189.2999999999997</v>
      </c>
      <c r="K13" s="15">
        <f t="shared" ref="K13:O13" si="0">K11-K12</f>
        <v>2355.1000000000004</v>
      </c>
      <c r="L13" s="15">
        <f t="shared" si="0"/>
        <v>2556.5</v>
      </c>
      <c r="M13" s="15">
        <f t="shared" si="0"/>
        <v>606.40000000000009</v>
      </c>
      <c r="N13" s="15">
        <f t="shared" si="0"/>
        <v>658.90000000000009</v>
      </c>
      <c r="O13" s="15">
        <f t="shared" si="0"/>
        <v>2609</v>
      </c>
      <c r="P13" s="2"/>
      <c r="Q13" s="2" t="s">
        <v>99</v>
      </c>
      <c r="R13" s="2"/>
      <c r="S13" s="2"/>
      <c r="T13" s="41">
        <v>361.8</v>
      </c>
      <c r="U13" s="41">
        <v>387.9</v>
      </c>
    </row>
    <row r="14" spans="2:21" x14ac:dyDescent="0.25">
      <c r="B14" s="2"/>
      <c r="C14" s="2" t="s">
        <v>11</v>
      </c>
      <c r="D14" s="2"/>
      <c r="E14" s="2"/>
      <c r="F14" s="2"/>
      <c r="G14" s="16">
        <v>0.9</v>
      </c>
      <c r="H14" s="2"/>
      <c r="I14" s="2" t="s">
        <v>58</v>
      </c>
      <c r="J14" s="41">
        <v>2157.6</v>
      </c>
      <c r="K14" s="41">
        <v>2155.1999999999998</v>
      </c>
      <c r="L14" s="41">
        <v>2257.9</v>
      </c>
      <c r="M14" s="41">
        <v>546.1</v>
      </c>
      <c r="N14" s="41">
        <v>547.70000000000005</v>
      </c>
      <c r="O14" s="41">
        <f>L14+N14-M14</f>
        <v>2259.5000000000005</v>
      </c>
      <c r="P14" s="2"/>
      <c r="Q14" s="2" t="s">
        <v>100</v>
      </c>
      <c r="R14" s="2"/>
      <c r="S14" s="2"/>
      <c r="T14" s="41">
        <v>519.79999999999995</v>
      </c>
      <c r="U14" s="41">
        <v>515.79999999999995</v>
      </c>
    </row>
    <row r="15" spans="2:21" x14ac:dyDescent="0.25">
      <c r="B15" s="2"/>
      <c r="C15" s="2" t="s">
        <v>12</v>
      </c>
      <c r="D15" s="2"/>
      <c r="E15" s="2"/>
      <c r="F15" s="2"/>
      <c r="G15" s="17">
        <f>L23</f>
        <v>0.10999136193492662</v>
      </c>
      <c r="H15" s="2"/>
      <c r="I15" s="14" t="s">
        <v>59</v>
      </c>
      <c r="J15" s="15">
        <f>J13-J14</f>
        <v>31.699999999999818</v>
      </c>
      <c r="K15" s="15">
        <f t="shared" ref="K15:O15" si="1">K13-K14</f>
        <v>199.90000000000055</v>
      </c>
      <c r="L15" s="15">
        <f t="shared" si="1"/>
        <v>298.59999999999991</v>
      </c>
      <c r="M15" s="15">
        <f t="shared" si="1"/>
        <v>60.300000000000068</v>
      </c>
      <c r="N15" s="15">
        <f t="shared" si="1"/>
        <v>111.20000000000005</v>
      </c>
      <c r="O15" s="15">
        <f t="shared" si="1"/>
        <v>349.49999999999955</v>
      </c>
      <c r="P15" s="2"/>
      <c r="Q15" s="2" t="s">
        <v>101</v>
      </c>
      <c r="R15" s="2"/>
      <c r="S15" s="2"/>
      <c r="T15" s="41">
        <v>1857.1</v>
      </c>
      <c r="U15" s="41">
        <v>1824.7</v>
      </c>
    </row>
    <row r="16" spans="2:21" x14ac:dyDescent="0.25">
      <c r="B16" s="2"/>
      <c r="C16" s="2"/>
      <c r="D16" s="2"/>
      <c r="E16" s="2"/>
      <c r="F16" s="2"/>
      <c r="G16" s="2"/>
      <c r="H16" s="2"/>
      <c r="I16" s="2" t="s">
        <v>60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f>L16+N16-M16</f>
        <v>0</v>
      </c>
      <c r="P16" s="2"/>
      <c r="Q16" s="14" t="s">
        <v>102</v>
      </c>
      <c r="R16" s="2"/>
      <c r="S16" s="2"/>
      <c r="T16" s="15">
        <f>T12+T13+T14+T15</f>
        <v>4229.5</v>
      </c>
      <c r="U16" s="15">
        <f>U12+U13+U14+U15</f>
        <v>3984</v>
      </c>
    </row>
    <row r="17" spans="2:21" x14ac:dyDescent="0.25">
      <c r="B17" s="2"/>
      <c r="C17" s="7" t="s">
        <v>13</v>
      </c>
      <c r="D17" s="7"/>
      <c r="E17" s="7"/>
      <c r="F17" s="7"/>
      <c r="G17" s="7"/>
      <c r="H17" s="2"/>
      <c r="I17" s="2" t="s">
        <v>61</v>
      </c>
      <c r="J17" s="41">
        <v>-62</v>
      </c>
      <c r="K17" s="41">
        <v>-48</v>
      </c>
      <c r="L17" s="41">
        <v>-48.7</v>
      </c>
      <c r="M17" s="41">
        <v>-13.5</v>
      </c>
      <c r="N17" s="41">
        <v>-6.4</v>
      </c>
      <c r="O17" s="41">
        <f>L17+N17-M17</f>
        <v>-41.6</v>
      </c>
      <c r="P17" s="2"/>
      <c r="Q17" s="2" t="s">
        <v>103</v>
      </c>
      <c r="R17" s="2"/>
      <c r="S17" s="2"/>
      <c r="T17" s="41">
        <v>17.399999999999999</v>
      </c>
      <c r="U17" s="41">
        <v>24</v>
      </c>
    </row>
    <row r="18" spans="2:21" x14ac:dyDescent="0.25">
      <c r="B18" s="2"/>
      <c r="C18" s="2" t="s">
        <v>14</v>
      </c>
      <c r="D18" s="2"/>
      <c r="E18" s="2"/>
      <c r="F18" s="2"/>
      <c r="G18" s="18">
        <v>47</v>
      </c>
      <c r="H18" s="2"/>
      <c r="I18" s="14" t="s">
        <v>62</v>
      </c>
      <c r="J18" s="15">
        <f>J15-J16-J17</f>
        <v>93.699999999999818</v>
      </c>
      <c r="K18" s="15">
        <f t="shared" ref="K18:O18" si="2">K15-K16-K17</f>
        <v>247.90000000000055</v>
      </c>
      <c r="L18" s="15">
        <f t="shared" si="2"/>
        <v>347.2999999999999</v>
      </c>
      <c r="M18" s="15">
        <f t="shared" si="2"/>
        <v>73.800000000000068</v>
      </c>
      <c r="N18" s="15">
        <f t="shared" si="2"/>
        <v>117.60000000000005</v>
      </c>
      <c r="O18" s="15">
        <f t="shared" si="2"/>
        <v>391.09999999999957</v>
      </c>
      <c r="P18" s="2"/>
      <c r="Q18" s="2" t="s">
        <v>104</v>
      </c>
      <c r="R18" s="2"/>
      <c r="S18" s="2"/>
      <c r="T18" s="41">
        <v>113.4</v>
      </c>
      <c r="U18" s="41">
        <v>266.2</v>
      </c>
    </row>
    <row r="19" spans="2:21" x14ac:dyDescent="0.25">
      <c r="B19" s="2"/>
      <c r="C19" s="2" t="s">
        <v>15</v>
      </c>
      <c r="D19" s="2"/>
      <c r="E19" s="2"/>
      <c r="F19" s="2"/>
      <c r="G19" s="18">
        <v>86.65</v>
      </c>
      <c r="H19" s="2"/>
      <c r="I19" s="2" t="s">
        <v>63</v>
      </c>
      <c r="J19" s="41">
        <v>19.7</v>
      </c>
      <c r="K19" s="41">
        <v>-819.9</v>
      </c>
      <c r="L19" s="41">
        <v>38.200000000000003</v>
      </c>
      <c r="M19" s="41">
        <v>1.7</v>
      </c>
      <c r="N19" s="41">
        <v>39.6</v>
      </c>
      <c r="O19" s="41">
        <f>L19+N19-M19</f>
        <v>76.100000000000009</v>
      </c>
      <c r="P19" s="2"/>
      <c r="Q19" s="2" t="s">
        <v>105</v>
      </c>
      <c r="R19" s="2"/>
      <c r="S19" s="2"/>
      <c r="T19" s="41">
        <v>1908.6</v>
      </c>
      <c r="U19" s="41">
        <v>1598.4</v>
      </c>
    </row>
    <row r="20" spans="2:21" x14ac:dyDescent="0.25">
      <c r="B20" s="2"/>
      <c r="C20" s="2" t="s">
        <v>16</v>
      </c>
      <c r="D20" s="2"/>
      <c r="E20" s="2"/>
      <c r="F20" s="2"/>
      <c r="G20" s="18">
        <v>40.159999999999997</v>
      </c>
      <c r="H20" s="2"/>
      <c r="I20" s="2" t="s">
        <v>64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2"/>
      <c r="Q20" s="14" t="s">
        <v>106</v>
      </c>
      <c r="R20" s="2"/>
      <c r="S20" s="2"/>
      <c r="T20" s="15">
        <f>SUM(T17:T19)</f>
        <v>2039.3999999999999</v>
      </c>
      <c r="U20" s="15">
        <f>SUM(U17:U19)</f>
        <v>1888.6000000000001</v>
      </c>
    </row>
    <row r="21" spans="2:21" x14ac:dyDescent="0.25">
      <c r="B21" s="2"/>
      <c r="C21" s="2" t="s">
        <v>17</v>
      </c>
      <c r="D21" s="2"/>
      <c r="E21" s="2"/>
      <c r="F21" s="2"/>
      <c r="G21" s="18">
        <v>0</v>
      </c>
      <c r="H21" s="2"/>
      <c r="I21" s="2" t="s">
        <v>65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2"/>
      <c r="Q21" s="2" t="s">
        <v>107</v>
      </c>
      <c r="R21" s="2"/>
      <c r="S21" s="2"/>
      <c r="T21" s="41">
        <v>0</v>
      </c>
      <c r="U21" s="41">
        <v>0</v>
      </c>
    </row>
    <row r="22" spans="2:21" x14ac:dyDescent="0.25">
      <c r="B22" s="2"/>
      <c r="C22" s="2" t="s">
        <v>18</v>
      </c>
      <c r="D22" s="2"/>
      <c r="E22" s="2"/>
      <c r="F22" s="2"/>
      <c r="G22" s="19">
        <f>U55</f>
        <v>198</v>
      </c>
      <c r="H22" s="2"/>
      <c r="I22" s="14" t="s">
        <v>66</v>
      </c>
      <c r="J22" s="15">
        <f>J18-J19-J20-J21</f>
        <v>73.999999999999815</v>
      </c>
      <c r="K22" s="15">
        <f t="shared" ref="K22:O22" si="3">K18-K19-K20-K21</f>
        <v>1067.8000000000006</v>
      </c>
      <c r="L22" s="15">
        <f t="shared" si="3"/>
        <v>309.09999999999991</v>
      </c>
      <c r="M22" s="15">
        <f t="shared" si="3"/>
        <v>72.100000000000065</v>
      </c>
      <c r="N22" s="15">
        <f t="shared" si="3"/>
        <v>78.000000000000057</v>
      </c>
      <c r="O22" s="15">
        <f t="shared" si="3"/>
        <v>314.99999999999955</v>
      </c>
      <c r="P22" s="2"/>
      <c r="Q22" s="2" t="s">
        <v>108</v>
      </c>
      <c r="R22" s="2"/>
      <c r="S22" s="2"/>
      <c r="T22" s="41">
        <v>272.3</v>
      </c>
      <c r="U22" s="41">
        <v>275.7</v>
      </c>
    </row>
    <row r="23" spans="2:21" x14ac:dyDescent="0.25">
      <c r="B23" s="2"/>
      <c r="C23" s="14" t="s">
        <v>19</v>
      </c>
      <c r="D23" s="2"/>
      <c r="E23" s="2"/>
      <c r="F23" s="2"/>
      <c r="G23" s="20">
        <f>G18*G22</f>
        <v>9306</v>
      </c>
      <c r="H23" s="2"/>
      <c r="I23" s="2" t="s">
        <v>67</v>
      </c>
      <c r="J23" s="21">
        <f>IFERROR(J19/J18,0)</f>
        <v>0.21024546424759913</v>
      </c>
      <c r="K23" s="21">
        <f t="shared" ref="K23:O23" si="4">IFERROR(K19/K18,0)</f>
        <v>-3.3073820088745389</v>
      </c>
      <c r="L23" s="21">
        <f t="shared" si="4"/>
        <v>0.10999136193492662</v>
      </c>
      <c r="M23" s="21">
        <f t="shared" si="4"/>
        <v>2.3035230352303503E-2</v>
      </c>
      <c r="N23" s="21">
        <f t="shared" si="4"/>
        <v>0.33673469387755089</v>
      </c>
      <c r="O23" s="21">
        <f t="shared" si="4"/>
        <v>0.1945793914599849</v>
      </c>
      <c r="P23" s="2"/>
      <c r="Q23" s="14" t="s">
        <v>109</v>
      </c>
      <c r="R23" s="2"/>
      <c r="S23" s="2"/>
      <c r="T23" s="15">
        <f>T20+T21+T22</f>
        <v>2311.6999999999998</v>
      </c>
      <c r="U23" s="15">
        <f>U20+U21+U22</f>
        <v>2164.3000000000002</v>
      </c>
    </row>
    <row r="24" spans="2:21" x14ac:dyDescent="0.25">
      <c r="B24" s="2"/>
      <c r="C24" s="2" t="s">
        <v>20</v>
      </c>
      <c r="D24" s="2"/>
      <c r="E24" s="2"/>
      <c r="F24" s="2"/>
      <c r="G24" s="22">
        <f>U21</f>
        <v>0</v>
      </c>
      <c r="H24" s="2"/>
      <c r="I24" s="2" t="s">
        <v>68</v>
      </c>
      <c r="J24" s="42">
        <v>209</v>
      </c>
      <c r="K24" s="42">
        <v>210.3</v>
      </c>
      <c r="L24" s="42">
        <v>209.1</v>
      </c>
      <c r="M24" s="42">
        <v>212.8</v>
      </c>
      <c r="N24" s="42">
        <v>196.5</v>
      </c>
      <c r="O24" s="42">
        <f>N24</f>
        <v>196.5</v>
      </c>
      <c r="P24" s="2"/>
      <c r="Q24" s="2" t="s">
        <v>64</v>
      </c>
      <c r="R24" s="2"/>
      <c r="S24" s="2"/>
      <c r="T24" s="41">
        <v>0</v>
      </c>
      <c r="U24" s="41">
        <v>0</v>
      </c>
    </row>
    <row r="25" spans="2:21" x14ac:dyDescent="0.25">
      <c r="B25" s="2"/>
      <c r="C25" s="2" t="s">
        <v>21</v>
      </c>
      <c r="D25" s="2"/>
      <c r="E25" s="2"/>
      <c r="F25" s="2"/>
      <c r="G25" s="22">
        <f>U25</f>
        <v>0</v>
      </c>
      <c r="H25" s="2"/>
      <c r="I25" s="2" t="s">
        <v>69</v>
      </c>
      <c r="J25" s="23">
        <f>IFERROR(J22/J24,0)</f>
        <v>0.35406698564593214</v>
      </c>
      <c r="K25" s="23">
        <f t="shared" ref="K25:O25" si="5">IFERROR(K22/K24,0)</f>
        <v>5.0775083214455563</v>
      </c>
      <c r="L25" s="23">
        <f t="shared" si="5"/>
        <v>1.4782400765184118</v>
      </c>
      <c r="M25" s="23">
        <f t="shared" si="5"/>
        <v>0.33881578947368451</v>
      </c>
      <c r="N25" s="23">
        <f t="shared" si="5"/>
        <v>0.39694656488549646</v>
      </c>
      <c r="O25" s="23">
        <f t="shared" si="5"/>
        <v>1.6030534351145016</v>
      </c>
      <c r="P25" s="2"/>
      <c r="Q25" s="2" t="s">
        <v>110</v>
      </c>
      <c r="R25" s="2"/>
      <c r="S25" s="2"/>
      <c r="T25" s="41">
        <v>0</v>
      </c>
      <c r="U25" s="41">
        <v>0</v>
      </c>
    </row>
    <row r="26" spans="2:21" x14ac:dyDescent="0.25">
      <c r="B26" s="2"/>
      <c r="C26" s="2" t="s">
        <v>22</v>
      </c>
      <c r="D26" s="2"/>
      <c r="E26" s="2"/>
      <c r="F26" s="2"/>
      <c r="G26" s="22">
        <f>U24</f>
        <v>0</v>
      </c>
      <c r="H26" s="2"/>
      <c r="I26" s="2"/>
      <c r="J26" s="2"/>
      <c r="K26" s="2"/>
      <c r="L26" s="2"/>
      <c r="M26" s="2"/>
      <c r="N26" s="2"/>
      <c r="O26" s="2"/>
      <c r="P26" s="2"/>
      <c r="Q26" s="2" t="s">
        <v>111</v>
      </c>
      <c r="R26" s="2"/>
      <c r="S26" s="2"/>
      <c r="T26" s="41">
        <v>1917.8</v>
      </c>
      <c r="U26" s="41">
        <v>1819.7</v>
      </c>
    </row>
    <row r="27" spans="2:21" x14ac:dyDescent="0.25">
      <c r="B27" s="2"/>
      <c r="C27" s="2" t="s">
        <v>23</v>
      </c>
      <c r="D27" s="2"/>
      <c r="E27" s="2"/>
      <c r="F27" s="2"/>
      <c r="G27" s="22">
        <f>-U8</f>
        <v>-814.2</v>
      </c>
      <c r="H27" s="2"/>
      <c r="I27" s="7" t="s">
        <v>70</v>
      </c>
      <c r="J27" s="7"/>
      <c r="K27" s="7"/>
      <c r="L27" s="7"/>
      <c r="M27" s="7"/>
      <c r="N27" s="7"/>
      <c r="O27" s="7"/>
      <c r="P27" s="2"/>
      <c r="Q27" s="14" t="s">
        <v>112</v>
      </c>
      <c r="R27" s="2"/>
      <c r="S27" s="2"/>
      <c r="T27" s="15">
        <f>T23+T24+T25+T26</f>
        <v>4229.5</v>
      </c>
      <c r="U27" s="15">
        <f>U23+U24+U25+U26</f>
        <v>3984</v>
      </c>
    </row>
    <row r="28" spans="2:21" ht="14.4" thickBot="1" x14ac:dyDescent="0.3">
      <c r="B28" s="2"/>
      <c r="C28" s="14" t="s">
        <v>24</v>
      </c>
      <c r="D28" s="2"/>
      <c r="E28" s="2"/>
      <c r="F28" s="2"/>
      <c r="G28" s="24">
        <f>SUM(G23:G27)</f>
        <v>8491.7999999999993</v>
      </c>
      <c r="H28" s="2"/>
      <c r="I28" s="2" t="s">
        <v>71</v>
      </c>
      <c r="J28" s="25">
        <f>J13</f>
        <v>2189.2999999999997</v>
      </c>
      <c r="K28" s="25">
        <f t="shared" ref="K28:O28" si="6">K13</f>
        <v>2355.1000000000004</v>
      </c>
      <c r="L28" s="25">
        <f t="shared" si="6"/>
        <v>2556.5</v>
      </c>
      <c r="M28" s="25">
        <f t="shared" si="6"/>
        <v>606.40000000000009</v>
      </c>
      <c r="N28" s="25">
        <f t="shared" si="6"/>
        <v>658.90000000000009</v>
      </c>
      <c r="O28" s="25">
        <f t="shared" si="6"/>
        <v>2609</v>
      </c>
      <c r="P28" s="2"/>
      <c r="Q28" s="6" t="s">
        <v>113</v>
      </c>
      <c r="R28" s="2"/>
      <c r="S28" s="2"/>
      <c r="T28" s="26">
        <f>T16-T27</f>
        <v>0</v>
      </c>
      <c r="U28" s="26">
        <f>U16-U27</f>
        <v>0</v>
      </c>
    </row>
    <row r="29" spans="2:21" ht="14.4" thickTop="1" x14ac:dyDescent="0.25">
      <c r="B29" s="2"/>
      <c r="C29" s="2"/>
      <c r="D29" s="2"/>
      <c r="E29" s="2"/>
      <c r="F29" s="2"/>
      <c r="G29" s="2"/>
      <c r="H29" s="2"/>
      <c r="I29" s="2" t="s">
        <v>72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f>L29+N29-M29</f>
        <v>0</v>
      </c>
      <c r="P29" s="2"/>
      <c r="Q29" s="6"/>
      <c r="R29" s="2"/>
      <c r="S29" s="2"/>
      <c r="T29" s="26"/>
      <c r="U29" s="26"/>
    </row>
    <row r="30" spans="2:21" x14ac:dyDescent="0.25">
      <c r="B30" s="2"/>
      <c r="C30" s="7" t="s">
        <v>25</v>
      </c>
      <c r="D30" s="7"/>
      <c r="E30" s="7"/>
      <c r="F30" s="7"/>
      <c r="G30" s="7"/>
      <c r="H30" s="2"/>
      <c r="I30" s="14" t="s">
        <v>73</v>
      </c>
      <c r="J30" s="15">
        <f>J28+J29</f>
        <v>2189.2999999999997</v>
      </c>
      <c r="K30" s="15">
        <f t="shared" ref="K30:O30" si="7">K28+K29</f>
        <v>2355.1000000000004</v>
      </c>
      <c r="L30" s="15">
        <f t="shared" si="7"/>
        <v>2556.5</v>
      </c>
      <c r="M30" s="15">
        <f t="shared" si="7"/>
        <v>606.40000000000009</v>
      </c>
      <c r="N30" s="15">
        <f t="shared" si="7"/>
        <v>658.90000000000009</v>
      </c>
      <c r="O30" s="15">
        <f t="shared" si="7"/>
        <v>2609</v>
      </c>
      <c r="P30" s="2"/>
      <c r="Q30" s="2"/>
      <c r="R30" s="2"/>
      <c r="S30" s="2"/>
      <c r="T30" s="2"/>
      <c r="U30" s="2"/>
    </row>
    <row r="31" spans="2:21" x14ac:dyDescent="0.25">
      <c r="B31" s="2"/>
      <c r="C31" s="2"/>
      <c r="D31" s="11" t="s">
        <v>26</v>
      </c>
      <c r="E31" s="11" t="s">
        <v>27</v>
      </c>
      <c r="F31" s="11" t="s">
        <v>28</v>
      </c>
      <c r="G31" s="11" t="s">
        <v>29</v>
      </c>
      <c r="H31" s="2"/>
      <c r="I31" s="6" t="s">
        <v>74</v>
      </c>
      <c r="J31" s="27">
        <f>IFERROR(J30/J11,0)</f>
        <v>0.81486582052331857</v>
      </c>
      <c r="K31" s="27">
        <f t="shared" ref="K31:O31" si="8">IFERROR(K30/K11,0)</f>
        <v>0.81173956502257616</v>
      </c>
      <c r="L31" s="27">
        <f t="shared" si="8"/>
        <v>0.81143274296959311</v>
      </c>
      <c r="M31" s="27">
        <f t="shared" si="8"/>
        <v>0.79402906900615433</v>
      </c>
      <c r="N31" s="27">
        <f t="shared" si="8"/>
        <v>0.79366417730667316</v>
      </c>
      <c r="O31" s="27">
        <f t="shared" si="8"/>
        <v>0.81097883186720954</v>
      </c>
      <c r="P31" s="2"/>
      <c r="Q31" s="7" t="s">
        <v>114</v>
      </c>
      <c r="R31" s="28" t="s">
        <v>115</v>
      </c>
      <c r="S31" s="28" t="s">
        <v>116</v>
      </c>
      <c r="T31" s="28" t="s">
        <v>117</v>
      </c>
      <c r="U31" s="28" t="s">
        <v>118</v>
      </c>
    </row>
    <row r="32" spans="2:21" x14ac:dyDescent="0.25">
      <c r="B32" s="2"/>
      <c r="C32" s="2"/>
      <c r="D32" s="49">
        <f>DATE(2026,4,30)</f>
        <v>46142</v>
      </c>
      <c r="E32" s="29" t="s">
        <v>154</v>
      </c>
      <c r="F32" s="29" t="s">
        <v>155</v>
      </c>
      <c r="G32" s="29" t="s">
        <v>156</v>
      </c>
      <c r="H32" s="2"/>
      <c r="I32" s="2" t="s">
        <v>75</v>
      </c>
      <c r="J32" s="25">
        <f>J15</f>
        <v>31.699999999999818</v>
      </c>
      <c r="K32" s="25">
        <f t="shared" ref="K32:O32" si="9">K15</f>
        <v>199.90000000000055</v>
      </c>
      <c r="L32" s="25">
        <f t="shared" si="9"/>
        <v>298.59999999999991</v>
      </c>
      <c r="M32" s="25">
        <f t="shared" si="9"/>
        <v>60.300000000000068</v>
      </c>
      <c r="N32" s="25">
        <f t="shared" si="9"/>
        <v>111.20000000000005</v>
      </c>
      <c r="O32" s="25">
        <f t="shared" si="9"/>
        <v>349.49999999999955</v>
      </c>
      <c r="P32" s="2"/>
      <c r="Q32" s="2" t="s">
        <v>119</v>
      </c>
      <c r="R32" s="42">
        <v>0</v>
      </c>
      <c r="S32" s="18">
        <v>0</v>
      </c>
      <c r="T32" s="19">
        <f>IF(AND(S32&gt;0,S32&lt;$G$18),R32,0)</f>
        <v>0</v>
      </c>
      <c r="U32" s="25">
        <f>T32*S32</f>
        <v>0</v>
      </c>
    </row>
    <row r="33" spans="2:21" x14ac:dyDescent="0.25">
      <c r="B33" s="2"/>
      <c r="C33" s="14" t="s">
        <v>30</v>
      </c>
      <c r="D33" s="47">
        <f>G28/O11</f>
        <v>2.6395822324453695</v>
      </c>
      <c r="E33" s="47">
        <f>G28/E34</f>
        <v>2.4290045766590387</v>
      </c>
      <c r="F33" s="30" t="s">
        <v>9</v>
      </c>
      <c r="G33" s="30" t="s">
        <v>9</v>
      </c>
      <c r="H33" s="2"/>
      <c r="I33" s="2" t="s">
        <v>72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f>L33+N33-M33</f>
        <v>0</v>
      </c>
      <c r="P33" s="2"/>
      <c r="Q33" s="2" t="s">
        <v>120</v>
      </c>
      <c r="R33" s="42">
        <v>0</v>
      </c>
      <c r="S33" s="18">
        <v>0</v>
      </c>
      <c r="T33" s="19">
        <f t="shared" ref="T33:T36" si="10">IF(AND(S33&gt;0,S33&lt;$G$18),R33,0)</f>
        <v>0</v>
      </c>
      <c r="U33" s="25">
        <f t="shared" ref="U33:U36" si="11">T33*S33</f>
        <v>0</v>
      </c>
    </row>
    <row r="34" spans="2:21" x14ac:dyDescent="0.25">
      <c r="B34" s="2"/>
      <c r="C34" s="6" t="s">
        <v>31</v>
      </c>
      <c r="D34" s="48">
        <f>O11</f>
        <v>3217.1000000000004</v>
      </c>
      <c r="E34" s="48">
        <v>3496</v>
      </c>
      <c r="F34" s="2"/>
      <c r="G34" s="2"/>
      <c r="H34" s="2"/>
      <c r="I34" s="2" t="s">
        <v>76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f>L34+N34-M34</f>
        <v>0</v>
      </c>
      <c r="P34" s="2"/>
      <c r="Q34" s="2" t="s">
        <v>121</v>
      </c>
      <c r="R34" s="42">
        <v>0</v>
      </c>
      <c r="S34" s="18">
        <v>0</v>
      </c>
      <c r="T34" s="19">
        <f t="shared" si="10"/>
        <v>0</v>
      </c>
      <c r="U34" s="25">
        <f t="shared" si="11"/>
        <v>0</v>
      </c>
    </row>
    <row r="35" spans="2:21" x14ac:dyDescent="0.25">
      <c r="B35" s="2"/>
      <c r="C35" s="14" t="s">
        <v>32</v>
      </c>
      <c r="D35" s="47">
        <f>IF(O38&lt;=0,"NM",IF(G28/O38&gt;NM_Cap,"NM",G28/O38))</f>
        <v>18.168164313222096</v>
      </c>
      <c r="E35" s="30" t="s">
        <v>9</v>
      </c>
      <c r="F35" s="30" t="s">
        <v>9</v>
      </c>
      <c r="G35" s="30" t="s">
        <v>9</v>
      </c>
      <c r="H35" s="2"/>
      <c r="I35" s="14" t="s">
        <v>77</v>
      </c>
      <c r="J35" s="15">
        <f>J32+J33+J34</f>
        <v>31.699999999999818</v>
      </c>
      <c r="K35" s="15">
        <f t="shared" ref="K35:O35" si="12">K32+K33+K34</f>
        <v>199.90000000000055</v>
      </c>
      <c r="L35" s="15">
        <f t="shared" si="12"/>
        <v>298.59999999999991</v>
      </c>
      <c r="M35" s="15">
        <f t="shared" si="12"/>
        <v>60.300000000000068</v>
      </c>
      <c r="N35" s="15">
        <f t="shared" si="12"/>
        <v>111.20000000000005</v>
      </c>
      <c r="O35" s="15">
        <f t="shared" si="12"/>
        <v>349.49999999999955</v>
      </c>
      <c r="P35" s="2"/>
      <c r="Q35" s="2" t="s">
        <v>122</v>
      </c>
      <c r="R35" s="42">
        <v>0</v>
      </c>
      <c r="S35" s="18">
        <v>0</v>
      </c>
      <c r="T35" s="19">
        <f t="shared" si="10"/>
        <v>0</v>
      </c>
      <c r="U35" s="25">
        <f t="shared" si="11"/>
        <v>0</v>
      </c>
    </row>
    <row r="36" spans="2:21" x14ac:dyDescent="0.25">
      <c r="B36" s="2"/>
      <c r="C36" s="6" t="s">
        <v>31</v>
      </c>
      <c r="D36" s="48">
        <f>O38</f>
        <v>467.39999999999952</v>
      </c>
      <c r="E36" s="2"/>
      <c r="F36" s="2"/>
      <c r="G36" s="2"/>
      <c r="H36" s="2"/>
      <c r="I36" s="6" t="s">
        <v>74</v>
      </c>
      <c r="J36" s="27">
        <f>IFERROR(J35/J11,0)</f>
        <v>1.1798861056314371E-2</v>
      </c>
      <c r="K36" s="27">
        <f t="shared" ref="K36:O36" si="13">IFERROR(K35/K11,0)</f>
        <v>6.8900148209423542E-2</v>
      </c>
      <c r="L36" s="27">
        <f t="shared" si="13"/>
        <v>9.4775598298736718E-2</v>
      </c>
      <c r="M36" s="27">
        <f t="shared" si="13"/>
        <v>7.8957705905460349E-2</v>
      </c>
      <c r="N36" s="27">
        <f t="shared" si="13"/>
        <v>0.13394362804143584</v>
      </c>
      <c r="O36" s="27">
        <f t="shared" si="13"/>
        <v>0.10863821454104614</v>
      </c>
      <c r="P36" s="2"/>
      <c r="Q36" s="2" t="s">
        <v>123</v>
      </c>
      <c r="R36" s="42">
        <v>0</v>
      </c>
      <c r="S36" s="18">
        <v>0</v>
      </c>
      <c r="T36" s="19">
        <f t="shared" si="10"/>
        <v>0</v>
      </c>
      <c r="U36" s="25">
        <f t="shared" si="11"/>
        <v>0</v>
      </c>
    </row>
    <row r="37" spans="2:21" x14ac:dyDescent="0.25">
      <c r="B37" s="2"/>
      <c r="C37" s="14" t="s">
        <v>33</v>
      </c>
      <c r="D37" s="47">
        <f>IF(O35&lt;=0,"NM",IF(G28/O35&gt;NM_Cap,"NM",G28/O35))</f>
        <v>24.296995708154537</v>
      </c>
      <c r="E37" s="30" t="s">
        <v>9</v>
      </c>
      <c r="F37" s="30" t="s">
        <v>9</v>
      </c>
      <c r="G37" s="30" t="s">
        <v>9</v>
      </c>
      <c r="H37" s="2"/>
      <c r="I37" s="2" t="s">
        <v>78</v>
      </c>
      <c r="J37" s="41">
        <v>95.1</v>
      </c>
      <c r="K37" s="41">
        <v>107.8</v>
      </c>
      <c r="L37" s="41">
        <v>116.1</v>
      </c>
      <c r="M37" s="41">
        <v>30.4</v>
      </c>
      <c r="N37" s="41">
        <v>32.200000000000003</v>
      </c>
      <c r="O37" s="41">
        <f>L37+N37-M37</f>
        <v>117.9</v>
      </c>
      <c r="P37" s="2"/>
      <c r="Q37" s="14" t="s">
        <v>124</v>
      </c>
      <c r="R37" s="31">
        <f>SUM(R32:R36)</f>
        <v>0</v>
      </c>
      <c r="S37" s="43"/>
      <c r="T37" s="31">
        <f>SUM(T32:T36)</f>
        <v>0</v>
      </c>
      <c r="U37" s="15">
        <f>SUM(U32:U36)</f>
        <v>0</v>
      </c>
    </row>
    <row r="38" spans="2:21" x14ac:dyDescent="0.25">
      <c r="B38" s="2"/>
      <c r="C38" s="6" t="s">
        <v>31</v>
      </c>
      <c r="D38" s="48">
        <f>O35</f>
        <v>349.49999999999955</v>
      </c>
      <c r="E38" s="2"/>
      <c r="F38" s="2"/>
      <c r="G38" s="2"/>
      <c r="H38" s="2"/>
      <c r="I38" s="14" t="s">
        <v>79</v>
      </c>
      <c r="J38" s="15">
        <f>J35+J37</f>
        <v>126.79999999999981</v>
      </c>
      <c r="K38" s="15">
        <f t="shared" ref="K38:O38" si="14">K35+K37</f>
        <v>307.70000000000056</v>
      </c>
      <c r="L38" s="15">
        <f t="shared" si="14"/>
        <v>414.69999999999993</v>
      </c>
      <c r="M38" s="15">
        <f t="shared" si="14"/>
        <v>90.700000000000074</v>
      </c>
      <c r="N38" s="15">
        <f t="shared" si="14"/>
        <v>143.40000000000003</v>
      </c>
      <c r="O38" s="15">
        <f t="shared" si="14"/>
        <v>467.39999999999952</v>
      </c>
      <c r="P38" s="2"/>
      <c r="Q38" s="14"/>
      <c r="R38" s="32"/>
      <c r="S38" s="2"/>
      <c r="T38" s="32"/>
      <c r="U38" s="33"/>
    </row>
    <row r="39" spans="2:21" x14ac:dyDescent="0.25">
      <c r="B39" s="2"/>
      <c r="C39" s="14" t="s">
        <v>34</v>
      </c>
      <c r="D39" s="47">
        <f>IF(O46&lt;=0,"NM",IF(G18/O46&gt;NM_Cap,"NM",G18/O46))</f>
        <v>29.319047619047659</v>
      </c>
      <c r="E39" s="47">
        <f>IFERROR(IF(E40&lt;=0,"NM",IF(G18/E40&gt;NM_Cap,"NM",G18/E40)),"NA")</f>
        <v>11.898734177215189</v>
      </c>
      <c r="F39" s="30" t="s">
        <v>9</v>
      </c>
      <c r="G39" s="30" t="s">
        <v>9</v>
      </c>
      <c r="H39" s="2"/>
      <c r="I39" s="6" t="s">
        <v>74</v>
      </c>
      <c r="J39" s="27">
        <f>IFERROR(J38/J11,0)</f>
        <v>4.7195444225257684E-2</v>
      </c>
      <c r="K39" s="27">
        <f t="shared" ref="K39:O39" si="15">IFERROR(K38/K11,0)</f>
        <v>0.10605590597318462</v>
      </c>
      <c r="L39" s="27">
        <f t="shared" si="15"/>
        <v>0.13162572208468226</v>
      </c>
      <c r="M39" s="27">
        <f t="shared" si="15"/>
        <v>0.11876391253109869</v>
      </c>
      <c r="N39" s="27">
        <f t="shared" si="15"/>
        <v>0.17272946278005302</v>
      </c>
      <c r="O39" s="27">
        <f t="shared" si="15"/>
        <v>0.14528612725746773</v>
      </c>
      <c r="P39" s="2"/>
      <c r="Q39" s="2"/>
      <c r="R39" s="2"/>
      <c r="S39" s="2"/>
      <c r="T39" s="2"/>
      <c r="U39" s="2"/>
    </row>
    <row r="40" spans="2:21" x14ac:dyDescent="0.25">
      <c r="B40" s="2"/>
      <c r="C40" s="6" t="s">
        <v>31</v>
      </c>
      <c r="D40" s="23">
        <f>O46</f>
        <v>1.6030534351145016</v>
      </c>
      <c r="E40" s="23">
        <v>3.95</v>
      </c>
      <c r="F40" s="2"/>
      <c r="G40" s="2"/>
      <c r="H40" s="2"/>
      <c r="I40" s="2" t="s">
        <v>80</v>
      </c>
      <c r="J40" s="25">
        <f>J22</f>
        <v>73.999999999999815</v>
      </c>
      <c r="K40" s="25">
        <f t="shared" ref="K40:O40" si="16">K22</f>
        <v>1067.8000000000006</v>
      </c>
      <c r="L40" s="25">
        <f t="shared" si="16"/>
        <v>309.09999999999991</v>
      </c>
      <c r="M40" s="25">
        <f t="shared" si="16"/>
        <v>72.100000000000065</v>
      </c>
      <c r="N40" s="25">
        <f t="shared" si="16"/>
        <v>78.000000000000057</v>
      </c>
      <c r="O40" s="25">
        <f t="shared" si="16"/>
        <v>314.99999999999955</v>
      </c>
      <c r="P40" s="2"/>
      <c r="Q40" s="7" t="s">
        <v>125</v>
      </c>
      <c r="R40" s="28" t="s">
        <v>126</v>
      </c>
      <c r="S40" s="28" t="s">
        <v>127</v>
      </c>
      <c r="T40" s="28" t="s">
        <v>128</v>
      </c>
      <c r="U40" s="28" t="s">
        <v>129</v>
      </c>
    </row>
    <row r="41" spans="2:21" x14ac:dyDescent="0.25">
      <c r="B41" s="2"/>
      <c r="C41" s="14" t="s">
        <v>35</v>
      </c>
      <c r="D41" s="34">
        <f>O51/G23</f>
        <v>0.12037395228884591</v>
      </c>
      <c r="E41" s="30" t="s">
        <v>9</v>
      </c>
      <c r="F41" s="30" t="s">
        <v>9</v>
      </c>
      <c r="G41" s="30" t="s">
        <v>9</v>
      </c>
      <c r="H41" s="2"/>
      <c r="I41" s="2" t="s">
        <v>76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f>L41+N41-M41</f>
        <v>0</v>
      </c>
      <c r="P41" s="2"/>
      <c r="Q41" s="2" t="s">
        <v>130</v>
      </c>
      <c r="R41" s="41">
        <v>0</v>
      </c>
      <c r="S41" s="18">
        <v>0</v>
      </c>
      <c r="T41" s="44">
        <f>IFERROR(1000/S41,0)</f>
        <v>0</v>
      </c>
      <c r="U41" s="19">
        <f>IFERROR(R41/S41,0)</f>
        <v>0</v>
      </c>
    </row>
    <row r="42" spans="2:21" x14ac:dyDescent="0.25">
      <c r="B42" s="2"/>
      <c r="C42" s="6" t="s">
        <v>31</v>
      </c>
      <c r="D42" s="48">
        <f>O51</f>
        <v>1120.2</v>
      </c>
      <c r="E42" s="2"/>
      <c r="F42" s="2"/>
      <c r="G42" s="2"/>
      <c r="H42" s="2"/>
      <c r="I42" s="2" t="s">
        <v>72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1">
        <f>L42+N42-M42</f>
        <v>0</v>
      </c>
      <c r="P42" s="2"/>
      <c r="Q42" s="2" t="s">
        <v>131</v>
      </c>
      <c r="R42" s="41">
        <v>0</v>
      </c>
      <c r="S42" s="18">
        <v>0</v>
      </c>
      <c r="T42" s="44">
        <f t="shared" ref="T42:T45" si="17">IFERROR(1000/S42,0)</f>
        <v>0</v>
      </c>
      <c r="U42" s="19">
        <f t="shared" ref="U42:U45" si="18">IFERROR(R42/S42,0)</f>
        <v>0</v>
      </c>
    </row>
    <row r="43" spans="2:21" x14ac:dyDescent="0.25">
      <c r="B43" s="2"/>
      <c r="C43" s="2"/>
      <c r="D43" s="2"/>
      <c r="E43" s="2"/>
      <c r="F43" s="2"/>
      <c r="G43" s="2"/>
      <c r="H43" s="2"/>
      <c r="I43" s="2" t="s">
        <v>81</v>
      </c>
      <c r="J43" s="41">
        <v>0</v>
      </c>
      <c r="K43" s="41">
        <v>-837.3</v>
      </c>
      <c r="L43" s="41">
        <v>0</v>
      </c>
      <c r="M43" s="41">
        <v>0</v>
      </c>
      <c r="N43" s="41">
        <v>0</v>
      </c>
      <c r="O43" s="41">
        <f>L43+N43-M43</f>
        <v>0</v>
      </c>
      <c r="P43" s="2"/>
      <c r="Q43" s="2" t="s">
        <v>132</v>
      </c>
      <c r="R43" s="41">
        <v>0</v>
      </c>
      <c r="S43" s="18">
        <v>0</v>
      </c>
      <c r="T43" s="44">
        <f t="shared" si="17"/>
        <v>0</v>
      </c>
      <c r="U43" s="19">
        <f t="shared" si="18"/>
        <v>0</v>
      </c>
    </row>
    <row r="44" spans="2:21" x14ac:dyDescent="0.25">
      <c r="B44" s="2"/>
      <c r="C44" s="7" t="s">
        <v>36</v>
      </c>
      <c r="D44" s="7"/>
      <c r="E44" s="7"/>
      <c r="F44" s="7"/>
      <c r="G44" s="7"/>
      <c r="H44" s="2"/>
      <c r="I44" s="14" t="s">
        <v>82</v>
      </c>
      <c r="J44" s="15">
        <f>J40+J41+J42+J43</f>
        <v>73.999999999999815</v>
      </c>
      <c r="K44" s="15">
        <f t="shared" ref="K44:O44" si="19">K40+K41+K42+K43</f>
        <v>230.50000000000068</v>
      </c>
      <c r="L44" s="15">
        <f t="shared" si="19"/>
        <v>309.09999999999991</v>
      </c>
      <c r="M44" s="15">
        <f t="shared" si="19"/>
        <v>72.100000000000065</v>
      </c>
      <c r="N44" s="15">
        <f t="shared" si="19"/>
        <v>78.000000000000057</v>
      </c>
      <c r="O44" s="15">
        <f t="shared" si="19"/>
        <v>314.99999999999955</v>
      </c>
      <c r="P44" s="2"/>
      <c r="Q44" s="2" t="s">
        <v>133</v>
      </c>
      <c r="R44" s="41">
        <v>0</v>
      </c>
      <c r="S44" s="18">
        <v>0</v>
      </c>
      <c r="T44" s="44">
        <f t="shared" si="17"/>
        <v>0</v>
      </c>
      <c r="U44" s="19">
        <f t="shared" si="18"/>
        <v>0</v>
      </c>
    </row>
    <row r="45" spans="2:21" x14ac:dyDescent="0.25">
      <c r="B45" s="2"/>
      <c r="C45" s="2" t="s">
        <v>37</v>
      </c>
      <c r="D45" s="2"/>
      <c r="E45" s="2"/>
      <c r="F45" s="2"/>
      <c r="G45" s="34">
        <f>IF(U26&lt;=0,"NM",U21/(U21+U26))</f>
        <v>0</v>
      </c>
      <c r="H45" s="2"/>
      <c r="I45" s="6" t="s">
        <v>74</v>
      </c>
      <c r="J45" s="27">
        <f>IFERROR(J44/J11,0)</f>
        <v>2.7543082592027326E-2</v>
      </c>
      <c r="K45" s="27">
        <f t="shared" ref="K45:O45" si="20">IFERROR(K44/K11,0)</f>
        <v>7.9447144383552437E-2</v>
      </c>
      <c r="L45" s="27">
        <f t="shared" si="20"/>
        <v>9.8108296832349368E-2</v>
      </c>
      <c r="M45" s="27">
        <f t="shared" si="20"/>
        <v>9.440879926672785E-2</v>
      </c>
      <c r="N45" s="27">
        <f t="shared" si="20"/>
        <v>9.3953264273669054E-2</v>
      </c>
      <c r="O45" s="27">
        <f t="shared" si="20"/>
        <v>9.7914270616393489E-2</v>
      </c>
      <c r="P45" s="2"/>
      <c r="Q45" s="2" t="s">
        <v>134</v>
      </c>
      <c r="R45" s="41">
        <v>0</v>
      </c>
      <c r="S45" s="18">
        <v>0</v>
      </c>
      <c r="T45" s="44">
        <f t="shared" si="17"/>
        <v>0</v>
      </c>
      <c r="U45" s="19">
        <f t="shared" si="18"/>
        <v>0</v>
      </c>
    </row>
    <row r="46" spans="2:21" x14ac:dyDescent="0.25">
      <c r="B46" s="2"/>
      <c r="C46" s="2" t="s">
        <v>38</v>
      </c>
      <c r="D46" s="2"/>
      <c r="E46" s="2"/>
      <c r="F46" s="2"/>
      <c r="G46" s="34">
        <f>IF(U21+U26&lt;=0,"NM",O35*(1-G15)/(U21+U26))</f>
        <v>0.17093917623989818</v>
      </c>
      <c r="H46" s="2"/>
      <c r="I46" s="2" t="s">
        <v>83</v>
      </c>
      <c r="J46" s="23">
        <f>IFERROR(J44/J24,0)</f>
        <v>0.35406698564593214</v>
      </c>
      <c r="K46" s="23">
        <f t="shared" ref="K46:O46" si="21">IFERROR(K44/K24,0)</f>
        <v>1.0960532572515487</v>
      </c>
      <c r="L46" s="23">
        <f t="shared" si="21"/>
        <v>1.4782400765184118</v>
      </c>
      <c r="M46" s="23">
        <f t="shared" si="21"/>
        <v>0.33881578947368451</v>
      </c>
      <c r="N46" s="23">
        <f t="shared" si="21"/>
        <v>0.39694656488549646</v>
      </c>
      <c r="O46" s="23">
        <f t="shared" si="21"/>
        <v>1.6030534351145016</v>
      </c>
      <c r="P46" s="2"/>
      <c r="Q46" s="14" t="s">
        <v>124</v>
      </c>
      <c r="R46" s="15">
        <f>SUM(R41:R45)</f>
        <v>0</v>
      </c>
      <c r="S46" s="43"/>
      <c r="T46" s="43"/>
      <c r="U46" s="31">
        <f>SUM(U41:U45)</f>
        <v>0</v>
      </c>
    </row>
    <row r="47" spans="2:21" x14ac:dyDescent="0.25">
      <c r="B47" s="2"/>
      <c r="C47" s="2" t="s">
        <v>39</v>
      </c>
      <c r="D47" s="2"/>
      <c r="E47" s="2"/>
      <c r="F47" s="2"/>
      <c r="G47" s="34">
        <f>IF(U26&lt;=0,"NM",O44/U26)</f>
        <v>0.17310545694345197</v>
      </c>
      <c r="H47" s="2"/>
      <c r="I47" s="2"/>
      <c r="J47" s="2"/>
      <c r="K47" s="2"/>
      <c r="L47" s="2"/>
      <c r="M47" s="2"/>
      <c r="N47" s="2"/>
      <c r="O47" s="2"/>
      <c r="P47" s="2"/>
      <c r="Q47" s="14"/>
      <c r="R47" s="33"/>
      <c r="S47" s="2"/>
      <c r="T47" s="2"/>
      <c r="U47" s="32"/>
    </row>
    <row r="48" spans="2:21" x14ac:dyDescent="0.25">
      <c r="B48" s="2"/>
      <c r="C48" s="2" t="s">
        <v>40</v>
      </c>
      <c r="D48" s="2"/>
      <c r="E48" s="2"/>
      <c r="F48" s="2"/>
      <c r="G48" s="34">
        <f>IFERROR(O44/U16,"NM")</f>
        <v>7.9066265060240851E-2</v>
      </c>
      <c r="H48" s="2"/>
      <c r="I48" s="7" t="s">
        <v>84</v>
      </c>
      <c r="J48" s="7"/>
      <c r="K48" s="7"/>
      <c r="L48" s="7"/>
      <c r="M48" s="7"/>
      <c r="N48" s="7"/>
      <c r="O48" s="7"/>
      <c r="P48" s="2"/>
      <c r="Q48" s="2"/>
      <c r="R48" s="2"/>
      <c r="S48" s="2"/>
      <c r="T48" s="2"/>
      <c r="U48" s="2"/>
    </row>
    <row r="49" spans="2:21" x14ac:dyDescent="0.25">
      <c r="B49" s="2"/>
      <c r="C49" s="2" t="s">
        <v>41</v>
      </c>
      <c r="D49" s="2"/>
      <c r="E49" s="2"/>
      <c r="F49" s="2"/>
      <c r="G49" s="35">
        <f>G21*4</f>
        <v>0</v>
      </c>
      <c r="H49" s="2"/>
      <c r="I49" s="2" t="s">
        <v>85</v>
      </c>
      <c r="J49" s="41">
        <v>979.5</v>
      </c>
      <c r="K49" s="41">
        <v>1017.3</v>
      </c>
      <c r="L49" s="41">
        <v>1165</v>
      </c>
      <c r="M49" s="41">
        <v>251.4</v>
      </c>
      <c r="N49" s="41">
        <v>321.7</v>
      </c>
      <c r="O49" s="41">
        <f>L49+N49-M49</f>
        <v>1235.3</v>
      </c>
      <c r="P49" s="2"/>
      <c r="Q49" s="7" t="s">
        <v>141</v>
      </c>
      <c r="R49" s="7"/>
      <c r="S49" s="7"/>
      <c r="T49" s="7"/>
      <c r="U49" s="7"/>
    </row>
    <row r="50" spans="2:21" x14ac:dyDescent="0.25">
      <c r="B50" s="2"/>
      <c r="C50" s="2"/>
      <c r="D50" s="2"/>
      <c r="E50" s="2"/>
      <c r="F50" s="2"/>
      <c r="G50" s="2"/>
      <c r="H50" s="2"/>
      <c r="I50" s="2" t="s">
        <v>86</v>
      </c>
      <c r="J50" s="41">
        <v>92.4</v>
      </c>
      <c r="K50" s="41">
        <v>97</v>
      </c>
      <c r="L50" s="41">
        <v>106.4</v>
      </c>
      <c r="M50" s="41">
        <v>23.6</v>
      </c>
      <c r="N50" s="41">
        <v>32.299999999999997</v>
      </c>
      <c r="O50" s="41">
        <f>L50+N50-M50</f>
        <v>115.1</v>
      </c>
      <c r="P50" s="2"/>
      <c r="Q50" s="2" t="s">
        <v>135</v>
      </c>
      <c r="R50" s="2"/>
      <c r="S50" s="2"/>
      <c r="T50" s="2"/>
      <c r="U50" s="42">
        <v>198</v>
      </c>
    </row>
    <row r="51" spans="2:21" x14ac:dyDescent="0.25">
      <c r="B51" s="2"/>
      <c r="C51" s="7" t="s">
        <v>42</v>
      </c>
      <c r="D51" s="7"/>
      <c r="E51" s="7"/>
      <c r="F51" s="7"/>
      <c r="G51" s="7"/>
      <c r="H51" s="2"/>
      <c r="I51" s="14" t="s">
        <v>87</v>
      </c>
      <c r="J51" s="15">
        <f>J49-J50</f>
        <v>887.1</v>
      </c>
      <c r="K51" s="15">
        <f t="shared" ref="K51:O51" si="22">K49-K50</f>
        <v>920.3</v>
      </c>
      <c r="L51" s="15">
        <f t="shared" si="22"/>
        <v>1058.5999999999999</v>
      </c>
      <c r="M51" s="15">
        <f t="shared" si="22"/>
        <v>227.8</v>
      </c>
      <c r="N51" s="15">
        <f t="shared" si="22"/>
        <v>289.39999999999998</v>
      </c>
      <c r="O51" s="15">
        <f t="shared" si="22"/>
        <v>1120.2</v>
      </c>
      <c r="P51" s="2"/>
      <c r="Q51" s="2" t="s">
        <v>136</v>
      </c>
      <c r="R51" s="2"/>
      <c r="S51" s="2"/>
      <c r="T51" s="2"/>
      <c r="U51" s="19">
        <f>T37</f>
        <v>0</v>
      </c>
    </row>
    <row r="52" spans="2:21" x14ac:dyDescent="0.25">
      <c r="B52" s="2"/>
      <c r="C52" s="2"/>
      <c r="D52" s="36" t="s">
        <v>43</v>
      </c>
      <c r="E52" s="36" t="s">
        <v>44</v>
      </c>
      <c r="F52" s="36" t="s">
        <v>45</v>
      </c>
      <c r="G52" s="36" t="s">
        <v>46</v>
      </c>
      <c r="H52" s="2"/>
      <c r="I52" s="6" t="s">
        <v>74</v>
      </c>
      <c r="J52" s="27">
        <f>IFERROR(J51/J11,0)</f>
        <v>0.33018200766739869</v>
      </c>
      <c r="K52" s="27">
        <f t="shared" ref="K52:O52" si="23">IFERROR(K51/K11,0)</f>
        <v>0.31720263330231274</v>
      </c>
      <c r="L52" s="27">
        <f t="shared" si="23"/>
        <v>0.33599949216022346</v>
      </c>
      <c r="M52" s="27">
        <f t="shared" si="23"/>
        <v>0.29828466675396098</v>
      </c>
      <c r="N52" s="27">
        <f t="shared" si="23"/>
        <v>0.3485907010358949</v>
      </c>
      <c r="O52" s="27">
        <f t="shared" si="23"/>
        <v>0.34820179664915607</v>
      </c>
      <c r="P52" s="2"/>
      <c r="Q52" s="2" t="s">
        <v>137</v>
      </c>
      <c r="R52" s="2"/>
      <c r="S52" s="2"/>
      <c r="T52" s="2"/>
      <c r="U52" s="37">
        <f>-IFERROR(U37/G18,0)</f>
        <v>0</v>
      </c>
    </row>
    <row r="53" spans="2:21" x14ac:dyDescent="0.25">
      <c r="B53" s="2"/>
      <c r="C53" s="38" t="s">
        <v>47</v>
      </c>
      <c r="D53" s="2"/>
      <c r="E53" s="2"/>
      <c r="F53" s="2"/>
      <c r="G53" s="2"/>
      <c r="H53" s="2"/>
      <c r="I53" s="2" t="s">
        <v>88</v>
      </c>
      <c r="J53" s="23">
        <f>IFERROR(J51/J24,0)</f>
        <v>4.2444976076555028</v>
      </c>
      <c r="K53" s="23">
        <f t="shared" ref="K53:O53" si="24">IFERROR(K51/K24,0)</f>
        <v>4.3761293390394673</v>
      </c>
      <c r="L53" s="23">
        <f t="shared" si="24"/>
        <v>5.0626494500239119</v>
      </c>
      <c r="M53" s="23">
        <f t="shared" si="24"/>
        <v>1.0704887218045114</v>
      </c>
      <c r="N53" s="23">
        <f t="shared" si="24"/>
        <v>1.4727735368956743</v>
      </c>
      <c r="O53" s="23">
        <f t="shared" si="24"/>
        <v>5.7007633587786266</v>
      </c>
      <c r="P53" s="2"/>
      <c r="Q53" s="2" t="s">
        <v>138</v>
      </c>
      <c r="R53" s="2"/>
      <c r="S53" s="2"/>
      <c r="T53" s="2"/>
      <c r="U53" s="19">
        <f>U51+U52</f>
        <v>0</v>
      </c>
    </row>
    <row r="54" spans="2:21" x14ac:dyDescent="0.25">
      <c r="B54" s="2"/>
      <c r="C54" s="2" t="s">
        <v>48</v>
      </c>
      <c r="D54" s="34">
        <f>IFERROR(L11/K11-1,"NA")</f>
        <v>8.5926998242167096E-2</v>
      </c>
      <c r="E54" s="34">
        <f>IF(OR(K38&lt;=0,L38&lt;=0),"NM",L38/K38-1)</f>
        <v>0.34774130646733559</v>
      </c>
      <c r="F54" s="34">
        <f>IF(OR(K51&lt;=0,L51&lt;=0),"NM",L51/K51-1)</f>
        <v>0.1502770835597087</v>
      </c>
      <c r="G54" s="34">
        <f>IF(OR(K46&lt;=0,L46&lt;=0),"NM",L46/K46-1)</f>
        <v>0.34869365766516736</v>
      </c>
      <c r="H54" s="2"/>
      <c r="I54" s="2" t="s">
        <v>78</v>
      </c>
      <c r="J54" s="25">
        <f>J37</f>
        <v>95.1</v>
      </c>
      <c r="K54" s="25">
        <f t="shared" ref="K54:O54" si="25">K37</f>
        <v>107.8</v>
      </c>
      <c r="L54" s="25">
        <f t="shared" si="25"/>
        <v>116.1</v>
      </c>
      <c r="M54" s="25">
        <f t="shared" si="25"/>
        <v>30.4</v>
      </c>
      <c r="N54" s="25">
        <f t="shared" si="25"/>
        <v>32.200000000000003</v>
      </c>
      <c r="O54" s="25">
        <f t="shared" si="25"/>
        <v>117.9</v>
      </c>
      <c r="P54" s="2"/>
      <c r="Q54" s="2" t="s">
        <v>139</v>
      </c>
      <c r="R54" s="2"/>
      <c r="S54" s="2"/>
      <c r="T54" s="2"/>
      <c r="U54" s="19">
        <f>U46</f>
        <v>0</v>
      </c>
    </row>
    <row r="55" spans="2:21" ht="14.4" thickBot="1" x14ac:dyDescent="0.3">
      <c r="B55" s="2"/>
      <c r="C55" s="2" t="s">
        <v>49</v>
      </c>
      <c r="D55" s="34">
        <f>IFERROR((L11/J11)^(1/2)-1,"NA")</f>
        <v>8.2896740943709135E-2</v>
      </c>
      <c r="E55" s="34">
        <f>IF(OR(J38&lt;=0,L38&lt;=0),"NM",(L38/J38)^(1/2)-1)</f>
        <v>0.80845368529614348</v>
      </c>
      <c r="F55" s="34">
        <f>IF(OR(J51&lt;=0,L51&lt;=0),"NM",(L51/J51)^(1/2)-1)</f>
        <v>9.2394878110275913E-2</v>
      </c>
      <c r="G55" s="34">
        <f>IF(OR(J46&lt;=0,L46&lt;=0),"NM",(L46/J46)^(1/2)-1)</f>
        <v>1.0432888697641385</v>
      </c>
      <c r="H55" s="2"/>
      <c r="I55" s="6" t="s">
        <v>89</v>
      </c>
      <c r="J55" s="27">
        <f>IFERROR(J54/J11,0)</f>
        <v>3.5396583168943313E-2</v>
      </c>
      <c r="K55" s="27">
        <f t="shared" ref="K55:O55" si="26">IFERROR(K54/K11,0)</f>
        <v>3.7155757763761066E-2</v>
      </c>
      <c r="L55" s="27">
        <f t="shared" si="26"/>
        <v>3.6850123785945536E-2</v>
      </c>
      <c r="M55" s="27">
        <f t="shared" si="26"/>
        <v>3.9806206625638337E-2</v>
      </c>
      <c r="N55" s="27">
        <f t="shared" si="26"/>
        <v>3.87858347386172E-2</v>
      </c>
      <c r="O55" s="27">
        <f t="shared" si="26"/>
        <v>3.6647912716421621E-2</v>
      </c>
      <c r="P55" s="2"/>
      <c r="Q55" s="14" t="s">
        <v>18</v>
      </c>
      <c r="R55" s="2"/>
      <c r="S55" s="2"/>
      <c r="T55" s="2"/>
      <c r="U55" s="39">
        <f>U50+U53+U54</f>
        <v>198</v>
      </c>
    </row>
    <row r="56" spans="2:21" ht="14.4" thickTop="1" x14ac:dyDescent="0.25">
      <c r="B56" s="2"/>
      <c r="C56" s="38" t="s">
        <v>50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2:21" x14ac:dyDescent="0.25">
      <c r="B57" s="2"/>
      <c r="C57" s="2" t="s">
        <v>48</v>
      </c>
      <c r="D57" s="34">
        <f>E34/L11-1</f>
        <v>0.10962991176283876</v>
      </c>
      <c r="E57" s="30" t="s">
        <v>9</v>
      </c>
      <c r="F57" s="30" t="s">
        <v>9</v>
      </c>
      <c r="G57" s="30" t="s">
        <v>9</v>
      </c>
      <c r="H57" s="2"/>
      <c r="I57" s="7" t="s">
        <v>90</v>
      </c>
      <c r="J57" s="7"/>
      <c r="K57" s="7"/>
      <c r="L57" s="7"/>
      <c r="M57" s="7"/>
      <c r="N57" s="7"/>
      <c r="O57" s="7"/>
      <c r="P57" s="40"/>
      <c r="Q57" s="40"/>
      <c r="R57" s="40"/>
      <c r="S57" s="40"/>
      <c r="T57" s="40"/>
      <c r="U57" s="40"/>
    </row>
    <row r="58" spans="2:21" x14ac:dyDescent="0.25">
      <c r="B58" s="2"/>
      <c r="C58" s="2" t="s">
        <v>49</v>
      </c>
      <c r="D58" s="30" t="s">
        <v>9</v>
      </c>
      <c r="E58" s="30" t="s">
        <v>9</v>
      </c>
      <c r="F58" s="30" t="s">
        <v>9</v>
      </c>
      <c r="G58" s="30" t="s">
        <v>9</v>
      </c>
      <c r="H58" s="2"/>
      <c r="I58" s="2" t="s">
        <v>91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2:21" x14ac:dyDescent="0.25">
      <c r="B59" s="2"/>
      <c r="C59" s="2" t="s">
        <v>51</v>
      </c>
      <c r="D59" s="30" t="s">
        <v>9</v>
      </c>
      <c r="E59" s="30" t="s">
        <v>9</v>
      </c>
      <c r="F59" s="30" t="s">
        <v>9</v>
      </c>
      <c r="G59" s="30" t="s">
        <v>9</v>
      </c>
      <c r="H59" s="2"/>
      <c r="I59" s="2" t="s">
        <v>92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2:2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2:2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2:2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2:2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2:2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2:2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2:2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2:2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2:2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2:2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2:2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2:2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2:2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2:2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2:2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2:2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2:2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2:2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2:2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2:2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2:2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2:2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2:2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2:2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2:2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2:2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2:2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2:2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2:2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2:2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2:2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2:2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2:2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2:2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2:2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2:2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2:2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2:2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2:2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2:2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2:2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2:2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2:2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2:2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2:2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2:2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2:2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2:2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2:2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2:2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2:2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2:2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2:2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2:2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2:2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2:2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2:2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2:2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2:2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2:2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2:2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2:2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2:2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2:2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2:2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2:2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2:2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2:2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2:2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2:2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2:2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2:2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2:2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2:2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2:2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2:2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2:2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2:2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2:2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2:2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2:2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2:2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2:2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2:2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2:2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2:2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2:2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2:2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2:2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2:2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2:2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2:2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2:2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2:2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2:2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2:2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2:2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2:2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2:2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2:2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2:2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2:2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2:2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2:2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2:2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2:2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2:2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2:2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2:2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2:2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2:2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2:2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2:2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2:2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2:2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2:2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2:2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2:2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2:2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2:2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2:2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2:2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2:2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2:2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2:2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2:2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2:2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2:2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2:2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2:2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2:2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2:2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2:2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2:2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2:2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2:2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2:2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2:2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2:2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2:2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2:2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2:2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2:2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</sheetData>
  <printOptions horizontalCentered="1"/>
  <pageMargins left="0.5" right="0.5" top="0.6" bottom="0.6" header="0.3" footer="0.3"/>
  <pageSetup scale="47" fitToHeight="0" orientation="landscape" r:id="rId1"/>
  <headerFooter>
    <oddHeader>&amp;L&amp;"Times New Roman"&amp;9 Adobe Inc. (ADBE) — Trading Comparables&amp;R&amp;"Times New Roman"&amp;9&amp;A</oddHeader>
    <oddFooter>&amp;L&amp;"Times New Roman"&amp;8 Confidential&amp;C&amp;"Times New Roman"&amp;8 Page &amp;P of &amp;N&amp;R&amp;"Times New Roman"&amp;8 &amp;D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F00F8-9928-4937-A674-E27A5E863FBD}">
  <sheetPr>
    <pageSetUpPr fitToPage="1"/>
  </sheetPr>
  <dimension ref="B3:U202"/>
  <sheetViews>
    <sheetView showGridLines="0" topLeftCell="I19" zoomScale="99" workbookViewId="0">
      <selection activeCell="Q42" sqref="Q42"/>
    </sheetView>
  </sheetViews>
  <sheetFormatPr defaultRowHeight="13.8" x14ac:dyDescent="0.25"/>
  <cols>
    <col min="1" max="1" width="8.88671875" style="1"/>
    <col min="2" max="2" width="2.5546875" style="1" customWidth="1"/>
    <col min="3" max="3" width="37" style="1" customWidth="1"/>
    <col min="4" max="7" width="11.109375" style="1" customWidth="1"/>
    <col min="8" max="8" width="2.21875" style="1" customWidth="1"/>
    <col min="9" max="9" width="38" style="1" customWidth="1"/>
    <col min="10" max="15" width="10.33203125" style="1" customWidth="1"/>
    <col min="16" max="16" width="2.21875" style="1" customWidth="1"/>
    <col min="17" max="17" width="38" style="1" customWidth="1"/>
    <col min="18" max="21" width="11.44140625" style="1" customWidth="1"/>
    <col min="22" max="16384" width="8.88671875" style="1"/>
  </cols>
  <sheetData>
    <row r="3" spans="2:21" ht="22.05" customHeight="1" x14ac:dyDescent="0.3">
      <c r="B3" s="2"/>
      <c r="C3" s="3" t="s">
        <v>176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1" ht="14.4" x14ac:dyDescent="0.3">
      <c r="B4" s="2"/>
      <c r="C4" s="5" t="s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2:21" x14ac:dyDescent="0.25">
      <c r="B5" s="2"/>
      <c r="C5" s="6" t="s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21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21" x14ac:dyDescent="0.25">
      <c r="B7" s="2"/>
      <c r="C7" s="7" t="s">
        <v>2</v>
      </c>
      <c r="D7" s="7"/>
      <c r="E7" s="7"/>
      <c r="F7" s="7"/>
      <c r="G7" s="7"/>
      <c r="H7" s="2"/>
      <c r="I7" s="7" t="s">
        <v>52</v>
      </c>
      <c r="J7" s="7"/>
      <c r="K7" s="7"/>
      <c r="L7" s="7"/>
      <c r="M7" s="7"/>
      <c r="N7" s="7"/>
      <c r="O7" s="7"/>
      <c r="P7" s="2"/>
      <c r="Q7" s="7" t="s">
        <v>93</v>
      </c>
      <c r="R7" s="7"/>
      <c r="S7" s="7"/>
      <c r="T7" s="8" t="s">
        <v>147</v>
      </c>
      <c r="U7" s="50">
        <f>DATE(2026,3,31)</f>
        <v>46112</v>
      </c>
    </row>
    <row r="8" spans="2:21" x14ac:dyDescent="0.25">
      <c r="B8" s="2"/>
      <c r="C8" s="2" t="s">
        <v>3</v>
      </c>
      <c r="D8" s="2"/>
      <c r="E8" s="2"/>
      <c r="F8" s="2"/>
      <c r="G8" s="9" t="s">
        <v>167</v>
      </c>
      <c r="H8" s="2"/>
      <c r="I8" s="2"/>
      <c r="J8" s="10" t="s">
        <v>53</v>
      </c>
      <c r="K8" s="2"/>
      <c r="L8" s="2"/>
      <c r="M8" s="2"/>
      <c r="N8" s="2"/>
      <c r="O8" s="2"/>
      <c r="P8" s="2"/>
      <c r="Q8" s="2" t="s">
        <v>94</v>
      </c>
      <c r="R8" s="2"/>
      <c r="S8" s="2"/>
      <c r="T8" s="41">
        <v>1038.2</v>
      </c>
      <c r="U8" s="41">
        <v>1288.8</v>
      </c>
    </row>
    <row r="9" spans="2:21" x14ac:dyDescent="0.25">
      <c r="B9" s="2"/>
      <c r="C9" s="2" t="s">
        <v>4</v>
      </c>
      <c r="D9" s="2"/>
      <c r="E9" s="2"/>
      <c r="F9" s="2"/>
      <c r="G9" s="9" t="s">
        <v>168</v>
      </c>
      <c r="H9" s="2"/>
      <c r="I9" s="2"/>
      <c r="J9" s="11" t="s">
        <v>145</v>
      </c>
      <c r="K9" s="11" t="s">
        <v>146</v>
      </c>
      <c r="L9" s="11" t="s">
        <v>147</v>
      </c>
      <c r="M9" s="11" t="s">
        <v>54</v>
      </c>
      <c r="N9" s="11" t="s">
        <v>55</v>
      </c>
      <c r="O9" s="11" t="s">
        <v>26</v>
      </c>
      <c r="P9" s="2"/>
      <c r="Q9" s="2" t="s">
        <v>95</v>
      </c>
      <c r="R9" s="2"/>
      <c r="S9" s="2"/>
      <c r="T9" s="41">
        <v>79.099999999999994</v>
      </c>
      <c r="U9" s="41">
        <v>74.7</v>
      </c>
    </row>
    <row r="10" spans="2:21" x14ac:dyDescent="0.25">
      <c r="B10" s="2"/>
      <c r="C10" s="2" t="s">
        <v>5</v>
      </c>
      <c r="D10" s="2"/>
      <c r="E10" s="2"/>
      <c r="F10" s="2"/>
      <c r="G10" s="9" t="s">
        <v>6</v>
      </c>
      <c r="H10" s="2"/>
      <c r="I10" s="2"/>
      <c r="J10" s="12"/>
      <c r="K10" s="12"/>
      <c r="L10" s="12"/>
      <c r="M10" s="49">
        <f>DATE(2025,3,31)</f>
        <v>45747</v>
      </c>
      <c r="N10" s="49">
        <f>DATE(2026,3,31)</f>
        <v>46112</v>
      </c>
      <c r="O10" s="49">
        <f>DATE(2026,3,31)</f>
        <v>46112</v>
      </c>
      <c r="P10" s="2"/>
      <c r="Q10" s="2" t="s">
        <v>96</v>
      </c>
      <c r="R10" s="2"/>
      <c r="S10" s="2"/>
      <c r="T10" s="41">
        <v>0</v>
      </c>
      <c r="U10" s="41">
        <v>0</v>
      </c>
    </row>
    <row r="11" spans="2:21" x14ac:dyDescent="0.25">
      <c r="B11" s="2"/>
      <c r="C11" s="2" t="s">
        <v>7</v>
      </c>
      <c r="D11" s="2"/>
      <c r="E11" s="2"/>
      <c r="F11" s="2"/>
      <c r="G11" s="13" t="s">
        <v>140</v>
      </c>
      <c r="H11" s="2"/>
      <c r="I11" s="2" t="s">
        <v>43</v>
      </c>
      <c r="J11" s="41">
        <v>2501.6</v>
      </c>
      <c r="K11" s="41">
        <v>2548.1999999999998</v>
      </c>
      <c r="L11" s="41">
        <v>2521</v>
      </c>
      <c r="M11" s="41">
        <v>624.70000000000005</v>
      </c>
      <c r="N11" s="41">
        <v>629.5</v>
      </c>
      <c r="O11" s="41">
        <f>L11+N11-M11</f>
        <v>2525.8000000000002</v>
      </c>
      <c r="P11" s="2"/>
      <c r="Q11" s="2" t="s">
        <v>97</v>
      </c>
      <c r="R11" s="2"/>
      <c r="S11" s="2"/>
      <c r="T11" s="41">
        <v>73.2</v>
      </c>
      <c r="U11" s="41">
        <v>84.9</v>
      </c>
    </row>
    <row r="12" spans="2:21" x14ac:dyDescent="0.25">
      <c r="B12" s="2"/>
      <c r="C12" s="2" t="s">
        <v>8</v>
      </c>
      <c r="D12" s="2"/>
      <c r="E12" s="2"/>
      <c r="F12" s="2"/>
      <c r="G12" s="9" t="s">
        <v>9</v>
      </c>
      <c r="H12" s="2"/>
      <c r="I12" s="2" t="s">
        <v>56</v>
      </c>
      <c r="J12" s="41">
        <v>478.5</v>
      </c>
      <c r="K12" s="41">
        <v>445.1</v>
      </c>
      <c r="L12" s="41">
        <v>500.8</v>
      </c>
      <c r="M12" s="41">
        <v>116.7</v>
      </c>
      <c r="N12" s="41">
        <v>128.1</v>
      </c>
      <c r="O12" s="41">
        <f>L12+N12-M12</f>
        <v>512.19999999999993</v>
      </c>
      <c r="P12" s="2"/>
      <c r="Q12" s="14" t="s">
        <v>98</v>
      </c>
      <c r="R12" s="2"/>
      <c r="S12" s="2"/>
      <c r="T12" s="15">
        <f>SUM(T8:T11)</f>
        <v>1190.5</v>
      </c>
      <c r="U12" s="15">
        <f>SUM(U8:U11)</f>
        <v>1448.4</v>
      </c>
    </row>
    <row r="13" spans="2:21" x14ac:dyDescent="0.25">
      <c r="B13" s="2"/>
      <c r="C13" s="2" t="s">
        <v>10</v>
      </c>
      <c r="D13" s="2"/>
      <c r="E13" s="2"/>
      <c r="F13" s="2"/>
      <c r="G13" s="9" t="s">
        <v>9</v>
      </c>
      <c r="H13" s="2"/>
      <c r="I13" s="14" t="s">
        <v>57</v>
      </c>
      <c r="J13" s="15">
        <f>J11-J12</f>
        <v>2023.1</v>
      </c>
      <c r="K13" s="15">
        <f t="shared" ref="K13:O13" si="0">K11-K12</f>
        <v>2103.1</v>
      </c>
      <c r="L13" s="15">
        <f t="shared" si="0"/>
        <v>2020.2</v>
      </c>
      <c r="M13" s="15">
        <f t="shared" si="0"/>
        <v>508.00000000000006</v>
      </c>
      <c r="N13" s="15">
        <f t="shared" si="0"/>
        <v>501.4</v>
      </c>
      <c r="O13" s="15">
        <f t="shared" si="0"/>
        <v>2013.6000000000004</v>
      </c>
      <c r="P13" s="2"/>
      <c r="Q13" s="2" t="s">
        <v>99</v>
      </c>
      <c r="R13" s="2"/>
      <c r="S13" s="2"/>
      <c r="T13" s="41">
        <v>378.4</v>
      </c>
      <c r="U13" s="41">
        <v>358.3</v>
      </c>
    </row>
    <row r="14" spans="2:21" x14ac:dyDescent="0.25">
      <c r="B14" s="2"/>
      <c r="C14" s="2" t="s">
        <v>11</v>
      </c>
      <c r="D14" s="2"/>
      <c r="E14" s="2"/>
      <c r="F14" s="2"/>
      <c r="G14" s="16">
        <v>0.66</v>
      </c>
      <c r="H14" s="2"/>
      <c r="I14" s="2" t="s">
        <v>58</v>
      </c>
      <c r="J14" s="41">
        <v>1484.4</v>
      </c>
      <c r="K14" s="41">
        <v>1616.9</v>
      </c>
      <c r="L14" s="41">
        <v>1331.1</v>
      </c>
      <c r="M14" s="41">
        <v>324.2</v>
      </c>
      <c r="N14" s="41">
        <v>328.6</v>
      </c>
      <c r="O14" s="41">
        <f>L14+N14-M14</f>
        <v>1335.4999999999998</v>
      </c>
      <c r="P14" s="2"/>
      <c r="Q14" s="2" t="s">
        <v>100</v>
      </c>
      <c r="R14" s="2"/>
      <c r="S14" s="2"/>
      <c r="T14" s="41">
        <v>488.6</v>
      </c>
      <c r="U14" s="41">
        <v>482.9</v>
      </c>
    </row>
    <row r="15" spans="2:21" x14ac:dyDescent="0.25">
      <c r="B15" s="2"/>
      <c r="C15" s="2" t="s">
        <v>12</v>
      </c>
      <c r="D15" s="2"/>
      <c r="E15" s="2"/>
      <c r="F15" s="2"/>
      <c r="G15" s="17">
        <f>L23</f>
        <v>0.17681347150259064</v>
      </c>
      <c r="H15" s="2"/>
      <c r="I15" s="14" t="s">
        <v>59</v>
      </c>
      <c r="J15" s="15">
        <f>J13-J14</f>
        <v>538.69999999999982</v>
      </c>
      <c r="K15" s="15">
        <f t="shared" ref="K15:O15" si="1">K13-K14</f>
        <v>486.19999999999982</v>
      </c>
      <c r="L15" s="15">
        <f t="shared" si="1"/>
        <v>689.10000000000014</v>
      </c>
      <c r="M15" s="15">
        <f t="shared" si="1"/>
        <v>183.80000000000007</v>
      </c>
      <c r="N15" s="15">
        <f t="shared" si="1"/>
        <v>172.79999999999995</v>
      </c>
      <c r="O15" s="15">
        <f t="shared" si="1"/>
        <v>678.10000000000059</v>
      </c>
      <c r="P15" s="2"/>
      <c r="Q15" s="2" t="s">
        <v>101</v>
      </c>
      <c r="R15" s="2"/>
      <c r="S15" s="2"/>
      <c r="T15" s="41">
        <v>787.4</v>
      </c>
      <c r="U15" s="41">
        <v>741.3</v>
      </c>
    </row>
    <row r="16" spans="2:21" x14ac:dyDescent="0.25">
      <c r="B16" s="2"/>
      <c r="C16" s="2"/>
      <c r="D16" s="2"/>
      <c r="E16" s="2"/>
      <c r="F16" s="2"/>
      <c r="G16" s="2"/>
      <c r="H16" s="2"/>
      <c r="I16" s="2" t="s">
        <v>60</v>
      </c>
      <c r="J16" s="41">
        <v>1.3</v>
      </c>
      <c r="K16" s="41">
        <v>5.2</v>
      </c>
      <c r="L16" s="41">
        <v>93.2</v>
      </c>
      <c r="M16" s="41">
        <v>14.6</v>
      </c>
      <c r="N16" s="41">
        <v>36.700000000000003</v>
      </c>
      <c r="O16" s="41">
        <f>L16+N16-M16</f>
        <v>115.30000000000001</v>
      </c>
      <c r="P16" s="2"/>
      <c r="Q16" s="14" t="s">
        <v>102</v>
      </c>
      <c r="R16" s="2"/>
      <c r="S16" s="2"/>
      <c r="T16" s="15">
        <f>T12+T13+T14+T15</f>
        <v>2844.9</v>
      </c>
      <c r="U16" s="15">
        <f>U12+U13+U14+U15</f>
        <v>3030.8999999999996</v>
      </c>
    </row>
    <row r="17" spans="2:21" x14ac:dyDescent="0.25">
      <c r="B17" s="2"/>
      <c r="C17" s="7" t="s">
        <v>13</v>
      </c>
      <c r="D17" s="7"/>
      <c r="E17" s="7"/>
      <c r="F17" s="7"/>
      <c r="G17" s="7"/>
      <c r="H17" s="2"/>
      <c r="I17" s="2" t="s">
        <v>61</v>
      </c>
      <c r="J17" s="41">
        <v>-17</v>
      </c>
      <c r="K17" s="41">
        <v>-28.8</v>
      </c>
      <c r="L17" s="41">
        <v>-21.7</v>
      </c>
      <c r="M17" s="41">
        <v>-0.3</v>
      </c>
      <c r="N17" s="41">
        <v>-5.3</v>
      </c>
      <c r="O17" s="41">
        <f>L17+N17-M17</f>
        <v>-26.7</v>
      </c>
      <c r="P17" s="2"/>
      <c r="Q17" s="2" t="s">
        <v>103</v>
      </c>
      <c r="R17" s="2"/>
      <c r="S17" s="2"/>
      <c r="T17" s="41">
        <v>24.3</v>
      </c>
      <c r="U17" s="41">
        <v>32.1</v>
      </c>
    </row>
    <row r="18" spans="2:21" x14ac:dyDescent="0.25">
      <c r="B18" s="2"/>
      <c r="C18" s="2" t="s">
        <v>14</v>
      </c>
      <c r="D18" s="2"/>
      <c r="E18" s="2"/>
      <c r="F18" s="2"/>
      <c r="G18" s="18">
        <v>28.85</v>
      </c>
      <c r="H18" s="2"/>
      <c r="I18" s="14" t="s">
        <v>62</v>
      </c>
      <c r="J18" s="15">
        <f>J15-J16-J17</f>
        <v>554.39999999999986</v>
      </c>
      <c r="K18" s="15">
        <f t="shared" ref="K18:O18" si="2">K15-K16-K17</f>
        <v>509.79999999999984</v>
      </c>
      <c r="L18" s="15">
        <f t="shared" si="2"/>
        <v>617.60000000000014</v>
      </c>
      <c r="M18" s="15">
        <f t="shared" si="2"/>
        <v>169.50000000000009</v>
      </c>
      <c r="N18" s="15">
        <f t="shared" si="2"/>
        <v>141.39999999999998</v>
      </c>
      <c r="O18" s="15">
        <f t="shared" si="2"/>
        <v>589.50000000000068</v>
      </c>
      <c r="P18" s="2"/>
      <c r="Q18" s="2" t="s">
        <v>104</v>
      </c>
      <c r="R18" s="2"/>
      <c r="S18" s="2"/>
      <c r="T18" s="41">
        <v>121.7</v>
      </c>
      <c r="U18" s="41">
        <v>142.1</v>
      </c>
    </row>
    <row r="19" spans="2:21" x14ac:dyDescent="0.25">
      <c r="B19" s="2"/>
      <c r="C19" s="2" t="s">
        <v>15</v>
      </c>
      <c r="D19" s="2"/>
      <c r="E19" s="2"/>
      <c r="F19" s="2"/>
      <c r="G19" s="18">
        <v>32.4</v>
      </c>
      <c r="H19" s="2"/>
      <c r="I19" s="2" t="s">
        <v>63</v>
      </c>
      <c r="J19" s="41">
        <v>100.8</v>
      </c>
      <c r="K19" s="41">
        <v>57.5</v>
      </c>
      <c r="L19" s="41">
        <v>109.2</v>
      </c>
      <c r="M19" s="41">
        <v>19.2</v>
      </c>
      <c r="N19" s="41">
        <v>26.9</v>
      </c>
      <c r="O19" s="41">
        <f>L19+N19-M19</f>
        <v>116.89999999999999</v>
      </c>
      <c r="P19" s="2"/>
      <c r="Q19" s="2" t="s">
        <v>105</v>
      </c>
      <c r="R19" s="2"/>
      <c r="S19" s="2"/>
      <c r="T19" s="41">
        <v>1747.5</v>
      </c>
      <c r="U19" s="41">
        <v>1001.5</v>
      </c>
    </row>
    <row r="20" spans="2:21" x14ac:dyDescent="0.25">
      <c r="B20" s="2"/>
      <c r="C20" s="2" t="s">
        <v>16</v>
      </c>
      <c r="D20" s="2"/>
      <c r="E20" s="2"/>
      <c r="F20" s="2"/>
      <c r="G20" s="18">
        <v>21.7</v>
      </c>
      <c r="H20" s="2"/>
      <c r="I20" s="2" t="s">
        <v>64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2"/>
      <c r="Q20" s="14" t="s">
        <v>106</v>
      </c>
      <c r="R20" s="2"/>
      <c r="S20" s="2"/>
      <c r="T20" s="15">
        <f>SUM(T17:T19)</f>
        <v>1893.5</v>
      </c>
      <c r="U20" s="15">
        <f>SUM(U17:U19)</f>
        <v>1175.7</v>
      </c>
    </row>
    <row r="21" spans="2:21" x14ac:dyDescent="0.25">
      <c r="B21" s="2"/>
      <c r="C21" s="2" t="s">
        <v>17</v>
      </c>
      <c r="D21" s="2"/>
      <c r="E21" s="2"/>
      <c r="F21" s="2"/>
      <c r="G21" s="18">
        <v>0</v>
      </c>
      <c r="H21" s="2"/>
      <c r="I21" s="2" t="s">
        <v>65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2"/>
      <c r="Q21" s="2" t="s">
        <v>107</v>
      </c>
      <c r="R21" s="2"/>
      <c r="S21" s="2"/>
      <c r="T21" s="41">
        <v>2194.1</v>
      </c>
      <c r="U21" s="41">
        <v>3374.9</v>
      </c>
    </row>
    <row r="22" spans="2:21" x14ac:dyDescent="0.25">
      <c r="B22" s="2"/>
      <c r="C22" s="2" t="s">
        <v>18</v>
      </c>
      <c r="D22" s="2"/>
      <c r="E22" s="2"/>
      <c r="F22" s="2"/>
      <c r="G22" s="19">
        <f>U55</f>
        <v>238</v>
      </c>
      <c r="H22" s="2"/>
      <c r="I22" s="14" t="s">
        <v>66</v>
      </c>
      <c r="J22" s="15">
        <f>J18-J19-J20-J21</f>
        <v>453.59999999999985</v>
      </c>
      <c r="K22" s="15">
        <f t="shared" ref="K22:O22" si="3">K18-K19-K20-K21</f>
        <v>452.29999999999984</v>
      </c>
      <c r="L22" s="15">
        <f t="shared" si="3"/>
        <v>508.40000000000015</v>
      </c>
      <c r="M22" s="15">
        <f t="shared" si="3"/>
        <v>150.3000000000001</v>
      </c>
      <c r="N22" s="15">
        <f t="shared" si="3"/>
        <v>114.49999999999997</v>
      </c>
      <c r="O22" s="15">
        <f t="shared" si="3"/>
        <v>472.6000000000007</v>
      </c>
      <c r="P22" s="2"/>
      <c r="Q22" s="2" t="s">
        <v>108</v>
      </c>
      <c r="R22" s="2"/>
      <c r="S22" s="2"/>
      <c r="T22" s="41">
        <v>554.5</v>
      </c>
      <c r="U22" s="41">
        <v>492</v>
      </c>
    </row>
    <row r="23" spans="2:21" x14ac:dyDescent="0.25">
      <c r="B23" s="2"/>
      <c r="C23" s="14" t="s">
        <v>19</v>
      </c>
      <c r="D23" s="2"/>
      <c r="E23" s="2"/>
      <c r="F23" s="2"/>
      <c r="G23" s="20">
        <f>G18*G22</f>
        <v>6866.3</v>
      </c>
      <c r="H23" s="2"/>
      <c r="I23" s="2" t="s">
        <v>67</v>
      </c>
      <c r="J23" s="21">
        <f>IFERROR(J19/J18,0)</f>
        <v>0.18181818181818185</v>
      </c>
      <c r="K23" s="21">
        <f t="shared" ref="K23:O23" si="4">IFERROR(K19/K18,0)</f>
        <v>0.11278932914868579</v>
      </c>
      <c r="L23" s="21">
        <f t="shared" si="4"/>
        <v>0.17681347150259064</v>
      </c>
      <c r="M23" s="21">
        <f t="shared" si="4"/>
        <v>0.11327433628318578</v>
      </c>
      <c r="N23" s="21">
        <f t="shared" si="4"/>
        <v>0.19024045261669026</v>
      </c>
      <c r="O23" s="21">
        <f t="shared" si="4"/>
        <v>0.19830364715860874</v>
      </c>
      <c r="P23" s="2"/>
      <c r="Q23" s="14" t="s">
        <v>109</v>
      </c>
      <c r="R23" s="2"/>
      <c r="S23" s="2"/>
      <c r="T23" s="15">
        <f>T20+T21+T22</f>
        <v>4642.1000000000004</v>
      </c>
      <c r="U23" s="15">
        <f>U20+U21+U22</f>
        <v>5042.6000000000004</v>
      </c>
    </row>
    <row r="24" spans="2:21" x14ac:dyDescent="0.25">
      <c r="B24" s="2"/>
      <c r="C24" s="2" t="s">
        <v>20</v>
      </c>
      <c r="D24" s="2"/>
      <c r="E24" s="2"/>
      <c r="F24" s="2"/>
      <c r="G24" s="22">
        <f>U21</f>
        <v>3374.9</v>
      </c>
      <c r="H24" s="2"/>
      <c r="I24" s="2" t="s">
        <v>68</v>
      </c>
      <c r="J24" s="42">
        <v>358</v>
      </c>
      <c r="K24" s="42">
        <v>322</v>
      </c>
      <c r="L24" s="42">
        <v>270</v>
      </c>
      <c r="M24" s="42">
        <v>294.7</v>
      </c>
      <c r="N24" s="42">
        <v>238.5</v>
      </c>
      <c r="O24" s="42">
        <f>N24</f>
        <v>238.5</v>
      </c>
      <c r="P24" s="2"/>
      <c r="Q24" s="2" t="s">
        <v>64</v>
      </c>
      <c r="R24" s="2"/>
      <c r="S24" s="2"/>
      <c r="T24" s="41">
        <v>0</v>
      </c>
      <c r="U24" s="41">
        <v>0</v>
      </c>
    </row>
    <row r="25" spans="2:21" x14ac:dyDescent="0.25">
      <c r="B25" s="2"/>
      <c r="C25" s="2" t="s">
        <v>21</v>
      </c>
      <c r="D25" s="2"/>
      <c r="E25" s="2"/>
      <c r="F25" s="2"/>
      <c r="G25" s="22">
        <f>U25</f>
        <v>0</v>
      </c>
      <c r="H25" s="2"/>
      <c r="I25" s="2" t="s">
        <v>69</v>
      </c>
      <c r="J25" s="23">
        <f>IFERROR(J22/J24,0)</f>
        <v>1.2670391061452511</v>
      </c>
      <c r="K25" s="23">
        <f t="shared" ref="K25:O25" si="5">IFERROR(K22/K24,0)</f>
        <v>1.4046583850931673</v>
      </c>
      <c r="L25" s="23">
        <f t="shared" si="5"/>
        <v>1.8829629629629636</v>
      </c>
      <c r="M25" s="23">
        <f t="shared" si="5"/>
        <v>0.51001017984390939</v>
      </c>
      <c r="N25" s="23">
        <f t="shared" si="5"/>
        <v>0.48008385744234788</v>
      </c>
      <c r="O25" s="23">
        <f t="shared" si="5"/>
        <v>1.9815513626834411</v>
      </c>
      <c r="P25" s="2"/>
      <c r="Q25" s="2" t="s">
        <v>110</v>
      </c>
      <c r="R25" s="2"/>
      <c r="S25" s="2"/>
      <c r="T25" s="41">
        <v>0</v>
      </c>
      <c r="U25" s="41">
        <v>0</v>
      </c>
    </row>
    <row r="26" spans="2:21" x14ac:dyDescent="0.25">
      <c r="B26" s="2"/>
      <c r="C26" s="2" t="s">
        <v>22</v>
      </c>
      <c r="D26" s="2"/>
      <c r="E26" s="2"/>
      <c r="F26" s="2"/>
      <c r="G26" s="22">
        <f>U24</f>
        <v>0</v>
      </c>
      <c r="H26" s="2"/>
      <c r="I26" s="2"/>
      <c r="J26" s="2"/>
      <c r="K26" s="2"/>
      <c r="L26" s="2"/>
      <c r="M26" s="2"/>
      <c r="N26" s="2"/>
      <c r="O26" s="2"/>
      <c r="P26" s="2"/>
      <c r="Q26" s="2" t="s">
        <v>111</v>
      </c>
      <c r="R26" s="2"/>
      <c r="S26" s="2"/>
      <c r="T26" s="41">
        <v>-1797.2</v>
      </c>
      <c r="U26" s="41">
        <v>-2011.7</v>
      </c>
    </row>
    <row r="27" spans="2:21" x14ac:dyDescent="0.25">
      <c r="B27" s="2"/>
      <c r="C27" s="2" t="s">
        <v>23</v>
      </c>
      <c r="D27" s="2"/>
      <c r="E27" s="2"/>
      <c r="F27" s="2"/>
      <c r="G27" s="22">
        <f>-U8</f>
        <v>-1288.8</v>
      </c>
      <c r="H27" s="2"/>
      <c r="I27" s="7" t="s">
        <v>70</v>
      </c>
      <c r="J27" s="7"/>
      <c r="K27" s="7"/>
      <c r="L27" s="7"/>
      <c r="M27" s="7"/>
      <c r="N27" s="7"/>
      <c r="O27" s="7"/>
      <c r="P27" s="2"/>
      <c r="Q27" s="14" t="s">
        <v>112</v>
      </c>
      <c r="R27" s="2"/>
      <c r="S27" s="2"/>
      <c r="T27" s="15">
        <f>T23+T24+T25+T26</f>
        <v>2844.9000000000005</v>
      </c>
      <c r="U27" s="15">
        <f>U23+U24+U25+U26</f>
        <v>3030.9000000000005</v>
      </c>
    </row>
    <row r="28" spans="2:21" ht="14.4" thickBot="1" x14ac:dyDescent="0.3">
      <c r="B28" s="2"/>
      <c r="C28" s="14" t="s">
        <v>24</v>
      </c>
      <c r="D28" s="2"/>
      <c r="E28" s="2"/>
      <c r="F28" s="2"/>
      <c r="G28" s="24">
        <f>SUM(G23:G27)</f>
        <v>8952.4000000000015</v>
      </c>
      <c r="H28" s="2"/>
      <c r="I28" s="2" t="s">
        <v>71</v>
      </c>
      <c r="J28" s="25">
        <f>J13</f>
        <v>2023.1</v>
      </c>
      <c r="K28" s="25">
        <f t="shared" ref="K28:O28" si="6">K13</f>
        <v>2103.1</v>
      </c>
      <c r="L28" s="25">
        <f t="shared" si="6"/>
        <v>2020.2</v>
      </c>
      <c r="M28" s="25">
        <f t="shared" si="6"/>
        <v>508.00000000000006</v>
      </c>
      <c r="N28" s="25">
        <f t="shared" si="6"/>
        <v>501.4</v>
      </c>
      <c r="O28" s="25">
        <f t="shared" si="6"/>
        <v>2013.6000000000004</v>
      </c>
      <c r="P28" s="2"/>
      <c r="Q28" s="6" t="s">
        <v>113</v>
      </c>
      <c r="R28" s="2"/>
      <c r="S28" s="2"/>
      <c r="T28" s="26">
        <f>T16-T27</f>
        <v>0</v>
      </c>
      <c r="U28" s="26">
        <f>U16-U27</f>
        <v>0</v>
      </c>
    </row>
    <row r="29" spans="2:21" ht="14.4" thickTop="1" x14ac:dyDescent="0.25">
      <c r="B29" s="2"/>
      <c r="C29" s="2"/>
      <c r="D29" s="2"/>
      <c r="E29" s="2"/>
      <c r="F29" s="2"/>
      <c r="G29" s="2"/>
      <c r="H29" s="2"/>
      <c r="I29" s="2" t="s">
        <v>72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f>L29+N29-M29</f>
        <v>0</v>
      </c>
      <c r="P29" s="2"/>
      <c r="Q29" s="6"/>
      <c r="R29" s="2"/>
      <c r="S29" s="2"/>
      <c r="T29" s="26"/>
      <c r="U29" s="26"/>
    </row>
    <row r="30" spans="2:21" x14ac:dyDescent="0.25">
      <c r="B30" s="2"/>
      <c r="C30" s="7" t="s">
        <v>25</v>
      </c>
      <c r="D30" s="7"/>
      <c r="E30" s="7"/>
      <c r="F30" s="7"/>
      <c r="G30" s="7"/>
      <c r="H30" s="2"/>
      <c r="I30" s="14" t="s">
        <v>73</v>
      </c>
      <c r="J30" s="15">
        <f>J28+J29</f>
        <v>2023.1</v>
      </c>
      <c r="K30" s="15">
        <f t="shared" ref="K30:O30" si="7">K28+K29</f>
        <v>2103.1</v>
      </c>
      <c r="L30" s="15">
        <f t="shared" si="7"/>
        <v>2020.2</v>
      </c>
      <c r="M30" s="15">
        <f t="shared" si="7"/>
        <v>508.00000000000006</v>
      </c>
      <c r="N30" s="15">
        <f t="shared" si="7"/>
        <v>501.4</v>
      </c>
      <c r="O30" s="15">
        <f t="shared" si="7"/>
        <v>2013.6000000000004</v>
      </c>
      <c r="P30" s="2"/>
      <c r="Q30" s="2"/>
      <c r="R30" s="2"/>
      <c r="S30" s="2"/>
      <c r="T30" s="2"/>
      <c r="U30" s="2"/>
    </row>
    <row r="31" spans="2:21" x14ac:dyDescent="0.25">
      <c r="B31" s="2"/>
      <c r="C31" s="2"/>
      <c r="D31" s="11" t="s">
        <v>26</v>
      </c>
      <c r="E31" s="11" t="s">
        <v>27</v>
      </c>
      <c r="F31" s="11" t="s">
        <v>28</v>
      </c>
      <c r="G31" s="11" t="s">
        <v>29</v>
      </c>
      <c r="H31" s="2"/>
      <c r="I31" s="6" t="s">
        <v>74</v>
      </c>
      <c r="J31" s="27">
        <f>IFERROR(J30/J11,0)</f>
        <v>0.80872241765270225</v>
      </c>
      <c r="K31" s="27">
        <f t="shared" ref="K31:O31" si="8">IFERROR(K30/K11,0)</f>
        <v>0.82532768228553488</v>
      </c>
      <c r="L31" s="27">
        <f t="shared" si="8"/>
        <v>0.80134867116223718</v>
      </c>
      <c r="M31" s="27">
        <f t="shared" si="8"/>
        <v>0.81319033135905239</v>
      </c>
      <c r="N31" s="27">
        <f t="shared" si="8"/>
        <v>0.79650516282764094</v>
      </c>
      <c r="O31" s="27">
        <f t="shared" si="8"/>
        <v>0.79721276427270571</v>
      </c>
      <c r="P31" s="2"/>
      <c r="Q31" s="7" t="s">
        <v>114</v>
      </c>
      <c r="R31" s="28" t="s">
        <v>115</v>
      </c>
      <c r="S31" s="28" t="s">
        <v>116</v>
      </c>
      <c r="T31" s="28" t="s">
        <v>117</v>
      </c>
      <c r="U31" s="28" t="s">
        <v>118</v>
      </c>
    </row>
    <row r="32" spans="2:21" x14ac:dyDescent="0.25">
      <c r="B32" s="2"/>
      <c r="C32" s="2"/>
      <c r="D32" s="49">
        <f>DATE(2026,3,31)</f>
        <v>46112</v>
      </c>
      <c r="E32" s="29" t="s">
        <v>142</v>
      </c>
      <c r="F32" s="29" t="s">
        <v>143</v>
      </c>
      <c r="G32" s="29" t="s">
        <v>144</v>
      </c>
      <c r="H32" s="2"/>
      <c r="I32" s="2" t="s">
        <v>75</v>
      </c>
      <c r="J32" s="25">
        <f>J15</f>
        <v>538.69999999999982</v>
      </c>
      <c r="K32" s="25">
        <f t="shared" ref="K32:O32" si="9">K15</f>
        <v>486.19999999999982</v>
      </c>
      <c r="L32" s="25">
        <f t="shared" si="9"/>
        <v>689.10000000000014</v>
      </c>
      <c r="M32" s="25">
        <f t="shared" si="9"/>
        <v>183.80000000000007</v>
      </c>
      <c r="N32" s="25">
        <f t="shared" si="9"/>
        <v>172.79999999999995</v>
      </c>
      <c r="O32" s="25">
        <f t="shared" si="9"/>
        <v>678.10000000000059</v>
      </c>
      <c r="P32" s="2"/>
      <c r="Q32" s="2" t="s">
        <v>119</v>
      </c>
      <c r="R32" s="42">
        <v>0</v>
      </c>
      <c r="S32" s="18">
        <v>0</v>
      </c>
      <c r="T32" s="19">
        <f>IF(AND(S32&gt;0,S32&lt;$G$18),R32,0)</f>
        <v>0</v>
      </c>
      <c r="U32" s="25">
        <f>T32*S32</f>
        <v>0</v>
      </c>
    </row>
    <row r="33" spans="2:21" x14ac:dyDescent="0.25">
      <c r="B33" s="2"/>
      <c r="C33" s="14" t="s">
        <v>30</v>
      </c>
      <c r="D33" s="47">
        <f>G28/O11</f>
        <v>3.5443819779871726</v>
      </c>
      <c r="E33" s="47">
        <f>G28/E34</f>
        <v>3.5738123752495015</v>
      </c>
      <c r="F33" s="30" t="s">
        <v>9</v>
      </c>
      <c r="G33" s="30" t="s">
        <v>9</v>
      </c>
      <c r="H33" s="2"/>
      <c r="I33" s="2" t="s">
        <v>72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f>L33+N33-M33</f>
        <v>0</v>
      </c>
      <c r="P33" s="2"/>
      <c r="Q33" s="2" t="s">
        <v>120</v>
      </c>
      <c r="R33" s="42">
        <v>0</v>
      </c>
      <c r="S33" s="18">
        <v>0</v>
      </c>
      <c r="T33" s="19">
        <f t="shared" ref="T33:T36" si="10">IF(AND(S33&gt;0,S33&lt;$G$18),R33,0)</f>
        <v>0</v>
      </c>
      <c r="U33" s="25">
        <f t="shared" ref="U33:U36" si="11">T33*S33</f>
        <v>0</v>
      </c>
    </row>
    <row r="34" spans="2:21" x14ac:dyDescent="0.25">
      <c r="B34" s="2"/>
      <c r="C34" s="6" t="s">
        <v>31</v>
      </c>
      <c r="D34" s="48">
        <f>O11</f>
        <v>2525.8000000000002</v>
      </c>
      <c r="E34" s="48">
        <v>2505</v>
      </c>
      <c r="F34" s="2"/>
      <c r="G34" s="2"/>
      <c r="H34" s="2"/>
      <c r="I34" s="2" t="s">
        <v>76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f>L34+N34-M34</f>
        <v>0</v>
      </c>
      <c r="P34" s="2"/>
      <c r="Q34" s="2" t="s">
        <v>121</v>
      </c>
      <c r="R34" s="42">
        <v>0</v>
      </c>
      <c r="S34" s="18">
        <v>0</v>
      </c>
      <c r="T34" s="19">
        <f t="shared" si="10"/>
        <v>0</v>
      </c>
      <c r="U34" s="25">
        <f t="shared" si="11"/>
        <v>0</v>
      </c>
    </row>
    <row r="35" spans="2:21" x14ac:dyDescent="0.25">
      <c r="B35" s="2"/>
      <c r="C35" s="14" t="s">
        <v>32</v>
      </c>
      <c r="D35" s="47">
        <f>IF(O38&lt;=0,"NM",IF(G28/O38&gt;NM_Cap,"NM",G28/O38))</f>
        <v>10.70221159593544</v>
      </c>
      <c r="E35" s="30" t="s">
        <v>9</v>
      </c>
      <c r="F35" s="30" t="s">
        <v>9</v>
      </c>
      <c r="G35" s="30" t="s">
        <v>9</v>
      </c>
      <c r="H35" s="2"/>
      <c r="I35" s="14" t="s">
        <v>77</v>
      </c>
      <c r="J35" s="15">
        <f>J32+J33+J34</f>
        <v>538.69999999999982</v>
      </c>
      <c r="K35" s="15">
        <f t="shared" ref="K35:O35" si="12">K32+K33+K34</f>
        <v>486.19999999999982</v>
      </c>
      <c r="L35" s="15">
        <f t="shared" si="12"/>
        <v>689.10000000000014</v>
      </c>
      <c r="M35" s="15">
        <f t="shared" si="12"/>
        <v>183.80000000000007</v>
      </c>
      <c r="N35" s="15">
        <f t="shared" si="12"/>
        <v>172.79999999999995</v>
      </c>
      <c r="O35" s="15">
        <f t="shared" si="12"/>
        <v>678.10000000000059</v>
      </c>
      <c r="P35" s="2"/>
      <c r="Q35" s="2" t="s">
        <v>122</v>
      </c>
      <c r="R35" s="42">
        <v>0</v>
      </c>
      <c r="S35" s="18">
        <v>0</v>
      </c>
      <c r="T35" s="19">
        <f t="shared" si="10"/>
        <v>0</v>
      </c>
      <c r="U35" s="25">
        <f t="shared" si="11"/>
        <v>0</v>
      </c>
    </row>
    <row r="36" spans="2:21" x14ac:dyDescent="0.25">
      <c r="B36" s="2"/>
      <c r="C36" s="6" t="s">
        <v>31</v>
      </c>
      <c r="D36" s="48">
        <f>O38</f>
        <v>836.50000000000057</v>
      </c>
      <c r="E36" s="2"/>
      <c r="F36" s="2"/>
      <c r="G36" s="2"/>
      <c r="H36" s="2"/>
      <c r="I36" s="6" t="s">
        <v>74</v>
      </c>
      <c r="J36" s="27">
        <f>IFERROR(J35/J11,0)</f>
        <v>0.21534218100415728</v>
      </c>
      <c r="K36" s="27">
        <f t="shared" ref="K36:O36" si="13">IFERROR(K35/K11,0)</f>
        <v>0.19080134997252957</v>
      </c>
      <c r="L36" s="27">
        <f t="shared" si="13"/>
        <v>0.27334391114637052</v>
      </c>
      <c r="M36" s="27">
        <f t="shared" si="13"/>
        <v>0.29422122618857061</v>
      </c>
      <c r="N36" s="27">
        <f t="shared" si="13"/>
        <v>0.27450357426528982</v>
      </c>
      <c r="O36" s="27">
        <f t="shared" si="13"/>
        <v>0.26846939583498319</v>
      </c>
      <c r="P36" s="2"/>
      <c r="Q36" s="2" t="s">
        <v>123</v>
      </c>
      <c r="R36" s="42">
        <v>0</v>
      </c>
      <c r="S36" s="18">
        <v>0</v>
      </c>
      <c r="T36" s="19">
        <f t="shared" si="10"/>
        <v>0</v>
      </c>
      <c r="U36" s="25">
        <f t="shared" si="11"/>
        <v>0</v>
      </c>
    </row>
    <row r="37" spans="2:21" x14ac:dyDescent="0.25">
      <c r="B37" s="2"/>
      <c r="C37" s="14" t="s">
        <v>33</v>
      </c>
      <c r="D37" s="47">
        <f>IF(O35&lt;=0,"NM",IF(G28/O35&gt;NM_Cap,"NM",G28/O35))</f>
        <v>13.202182568942625</v>
      </c>
      <c r="E37" s="30" t="s">
        <v>9</v>
      </c>
      <c r="F37" s="30" t="s">
        <v>9</v>
      </c>
      <c r="G37" s="30" t="s">
        <v>9</v>
      </c>
      <c r="H37" s="2"/>
      <c r="I37" s="2" t="s">
        <v>78</v>
      </c>
      <c r="J37" s="41">
        <v>170</v>
      </c>
      <c r="K37" s="41">
        <v>137.30000000000001</v>
      </c>
      <c r="L37" s="41">
        <v>157.4</v>
      </c>
      <c r="M37" s="41">
        <v>38.1</v>
      </c>
      <c r="N37" s="41">
        <v>39.1</v>
      </c>
      <c r="O37" s="41">
        <f>L37+N37-M37</f>
        <v>158.4</v>
      </c>
      <c r="P37" s="2"/>
      <c r="Q37" s="14" t="s">
        <v>124</v>
      </c>
      <c r="R37" s="31">
        <f>SUM(R32:R36)</f>
        <v>0</v>
      </c>
      <c r="S37" s="43"/>
      <c r="T37" s="31">
        <f>SUM(T32:T36)</f>
        <v>0</v>
      </c>
      <c r="U37" s="15">
        <f>SUM(U32:U36)</f>
        <v>0</v>
      </c>
    </row>
    <row r="38" spans="2:21" x14ac:dyDescent="0.25">
      <c r="B38" s="2"/>
      <c r="C38" s="6" t="s">
        <v>31</v>
      </c>
      <c r="D38" s="48">
        <f>O35</f>
        <v>678.10000000000059</v>
      </c>
      <c r="E38" s="2"/>
      <c r="F38" s="2"/>
      <c r="G38" s="2"/>
      <c r="H38" s="2"/>
      <c r="I38" s="14" t="s">
        <v>79</v>
      </c>
      <c r="J38" s="15">
        <f>J35+J37</f>
        <v>708.69999999999982</v>
      </c>
      <c r="K38" s="15">
        <f t="shared" ref="K38:O38" si="14">K35+K37</f>
        <v>623.49999999999977</v>
      </c>
      <c r="L38" s="15">
        <f t="shared" si="14"/>
        <v>846.50000000000011</v>
      </c>
      <c r="M38" s="15">
        <f t="shared" si="14"/>
        <v>221.90000000000006</v>
      </c>
      <c r="N38" s="15">
        <f t="shared" si="14"/>
        <v>211.89999999999995</v>
      </c>
      <c r="O38" s="15">
        <f t="shared" si="14"/>
        <v>836.50000000000057</v>
      </c>
      <c r="P38" s="2"/>
      <c r="Q38" s="14"/>
      <c r="R38" s="32"/>
      <c r="S38" s="2"/>
      <c r="T38" s="32"/>
      <c r="U38" s="33"/>
    </row>
    <row r="39" spans="2:21" x14ac:dyDescent="0.25">
      <c r="B39" s="2"/>
      <c r="C39" s="14" t="s">
        <v>34</v>
      </c>
      <c r="D39" s="47">
        <f>IF(O46&lt;=0,"NM",IF(G18/O46&gt;NM_Cap,"NM",G18/O46))</f>
        <v>14.559299619128206</v>
      </c>
      <c r="E39" s="47">
        <f>IFERROR(IF(E40&lt;=0,"NM",IF(G18/E40&gt;NM_Cap,"NM",G18/E40)),"NA")</f>
        <v>9.6166666666666671</v>
      </c>
      <c r="F39" s="30" t="s">
        <v>9</v>
      </c>
      <c r="G39" s="30" t="s">
        <v>9</v>
      </c>
      <c r="H39" s="2"/>
      <c r="I39" s="6" t="s">
        <v>74</v>
      </c>
      <c r="J39" s="27">
        <f>IFERROR(J38/J11,0)</f>
        <v>0.28329868883914289</v>
      </c>
      <c r="K39" s="27">
        <f t="shared" ref="K39:O39" si="15">IFERROR(K38/K11,0)</f>
        <v>0.24468252099521223</v>
      </c>
      <c r="L39" s="27">
        <f t="shared" si="15"/>
        <v>0.33577945259817538</v>
      </c>
      <c r="M39" s="27">
        <f t="shared" si="15"/>
        <v>0.3552105010404995</v>
      </c>
      <c r="N39" s="27">
        <f t="shared" si="15"/>
        <v>0.33661636219221597</v>
      </c>
      <c r="O39" s="27">
        <f t="shared" si="15"/>
        <v>0.33118219969910545</v>
      </c>
      <c r="P39" s="2"/>
      <c r="Q39" s="2"/>
      <c r="R39" s="2"/>
      <c r="S39" s="2"/>
      <c r="T39" s="2"/>
      <c r="U39" s="2"/>
    </row>
    <row r="40" spans="2:21" x14ac:dyDescent="0.25">
      <c r="B40" s="2"/>
      <c r="C40" s="6" t="s">
        <v>31</v>
      </c>
      <c r="D40" s="23">
        <f>O46</f>
        <v>1.9815513626834411</v>
      </c>
      <c r="E40" s="23">
        <v>3</v>
      </c>
      <c r="F40" s="2"/>
      <c r="G40" s="2"/>
      <c r="H40" s="2"/>
      <c r="I40" s="2" t="s">
        <v>80</v>
      </c>
      <c r="J40" s="25">
        <f>J22</f>
        <v>453.59999999999985</v>
      </c>
      <c r="K40" s="25">
        <f t="shared" ref="K40:O40" si="16">K22</f>
        <v>452.29999999999984</v>
      </c>
      <c r="L40" s="25">
        <f t="shared" si="16"/>
        <v>508.40000000000015</v>
      </c>
      <c r="M40" s="25">
        <f t="shared" si="16"/>
        <v>150.3000000000001</v>
      </c>
      <c r="N40" s="25">
        <f t="shared" si="16"/>
        <v>114.49999999999997</v>
      </c>
      <c r="O40" s="25">
        <f t="shared" si="16"/>
        <v>472.6000000000007</v>
      </c>
      <c r="P40" s="2"/>
      <c r="Q40" s="7" t="s">
        <v>125</v>
      </c>
      <c r="R40" s="28" t="s">
        <v>126</v>
      </c>
      <c r="S40" s="28" t="s">
        <v>127</v>
      </c>
      <c r="T40" s="28" t="s">
        <v>128</v>
      </c>
      <c r="U40" s="28" t="s">
        <v>129</v>
      </c>
    </row>
    <row r="41" spans="2:21" x14ac:dyDescent="0.25">
      <c r="B41" s="2"/>
      <c r="C41" s="14" t="s">
        <v>35</v>
      </c>
      <c r="D41" s="34">
        <f>O51/G23</f>
        <v>0.14278432343474651</v>
      </c>
      <c r="E41" s="30" t="s">
        <v>9</v>
      </c>
      <c r="F41" s="30" t="s">
        <v>9</v>
      </c>
      <c r="G41" s="30" t="s">
        <v>9</v>
      </c>
      <c r="H41" s="2"/>
      <c r="I41" s="2" t="s">
        <v>76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f>L41+N41-M41</f>
        <v>0</v>
      </c>
      <c r="P41" s="2"/>
      <c r="Q41" s="2" t="s">
        <v>130</v>
      </c>
      <c r="R41" s="42">
        <v>693.3</v>
      </c>
      <c r="S41" s="18">
        <v>35.35</v>
      </c>
      <c r="T41" s="44">
        <f>IFERROR(1000/S41,0)</f>
        <v>28.288543140028288</v>
      </c>
      <c r="U41" s="19">
        <f>IFERROR(R41/S41,0)</f>
        <v>19.612446958981611</v>
      </c>
    </row>
    <row r="42" spans="2:21" x14ac:dyDescent="0.25">
      <c r="B42" s="2"/>
      <c r="C42" s="6" t="s">
        <v>31</v>
      </c>
      <c r="D42" s="48">
        <f>O51</f>
        <v>980.4</v>
      </c>
      <c r="E42" s="2"/>
      <c r="F42" s="2"/>
      <c r="G42" s="2"/>
      <c r="H42" s="2"/>
      <c r="I42" s="2" t="s">
        <v>72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1">
        <f>L42+N42-M42</f>
        <v>0</v>
      </c>
      <c r="P42" s="2"/>
      <c r="Q42" s="2" t="s">
        <v>131</v>
      </c>
      <c r="R42" s="41">
        <v>0</v>
      </c>
      <c r="S42" s="18">
        <v>0</v>
      </c>
      <c r="T42" s="44">
        <f t="shared" ref="T42:T45" si="17">IFERROR(1000/S42,0)</f>
        <v>0</v>
      </c>
      <c r="U42" s="19">
        <f t="shared" ref="U42:U45" si="18">IFERROR(R42/S42,0)</f>
        <v>0</v>
      </c>
    </row>
    <row r="43" spans="2:21" x14ac:dyDescent="0.25">
      <c r="B43" s="2"/>
      <c r="C43" s="2"/>
      <c r="D43" s="2"/>
      <c r="E43" s="2"/>
      <c r="F43" s="2"/>
      <c r="G43" s="2"/>
      <c r="H43" s="2"/>
      <c r="I43" s="2" t="s">
        <v>81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f>L43+N43-M43</f>
        <v>0</v>
      </c>
      <c r="P43" s="2"/>
      <c r="Q43" s="2" t="s">
        <v>132</v>
      </c>
      <c r="R43" s="41">
        <v>0</v>
      </c>
      <c r="S43" s="18">
        <v>0</v>
      </c>
      <c r="T43" s="44">
        <f t="shared" si="17"/>
        <v>0</v>
      </c>
      <c r="U43" s="19">
        <f t="shared" si="18"/>
        <v>0</v>
      </c>
    </row>
    <row r="44" spans="2:21" x14ac:dyDescent="0.25">
      <c r="B44" s="2"/>
      <c r="C44" s="7" t="s">
        <v>36</v>
      </c>
      <c r="D44" s="7"/>
      <c r="E44" s="7"/>
      <c r="F44" s="7"/>
      <c r="G44" s="7"/>
      <c r="H44" s="2"/>
      <c r="I44" s="14" t="s">
        <v>82</v>
      </c>
      <c r="J44" s="15">
        <f>J40+J41+J42+J43</f>
        <v>453.59999999999985</v>
      </c>
      <c r="K44" s="15">
        <f t="shared" ref="K44:O44" si="19">K40+K41+K42+K43</f>
        <v>452.29999999999984</v>
      </c>
      <c r="L44" s="15">
        <f t="shared" si="19"/>
        <v>508.40000000000015</v>
      </c>
      <c r="M44" s="15">
        <f t="shared" si="19"/>
        <v>150.3000000000001</v>
      </c>
      <c r="N44" s="15">
        <f t="shared" si="19"/>
        <v>114.49999999999997</v>
      </c>
      <c r="O44" s="15">
        <f t="shared" si="19"/>
        <v>472.6000000000007</v>
      </c>
      <c r="P44" s="2"/>
      <c r="Q44" s="2" t="s">
        <v>133</v>
      </c>
      <c r="R44" s="41">
        <v>0</v>
      </c>
      <c r="S44" s="18">
        <v>0</v>
      </c>
      <c r="T44" s="44">
        <f t="shared" si="17"/>
        <v>0</v>
      </c>
      <c r="U44" s="19">
        <f t="shared" si="18"/>
        <v>0</v>
      </c>
    </row>
    <row r="45" spans="2:21" x14ac:dyDescent="0.25">
      <c r="B45" s="2"/>
      <c r="C45" s="2" t="s">
        <v>37</v>
      </c>
      <c r="D45" s="2"/>
      <c r="E45" s="2"/>
      <c r="F45" s="2"/>
      <c r="G45" s="34" t="str">
        <f>IF(U26&lt;=0,"NM",U21/(U21+U26))</f>
        <v>NM</v>
      </c>
      <c r="H45" s="2"/>
      <c r="I45" s="6" t="s">
        <v>74</v>
      </c>
      <c r="J45" s="27">
        <f>IFERROR(J44/J11,0)</f>
        <v>0.18132395267029097</v>
      </c>
      <c r="K45" s="27">
        <f t="shared" ref="K45:O45" si="20">IFERROR(K44/K11,0)</f>
        <v>0.17749784161368803</v>
      </c>
      <c r="L45" s="27">
        <f t="shared" si="20"/>
        <v>0.2016660055533519</v>
      </c>
      <c r="M45" s="27">
        <f t="shared" si="20"/>
        <v>0.24059548583320006</v>
      </c>
      <c r="N45" s="27">
        <f t="shared" si="20"/>
        <v>0.18189038919777598</v>
      </c>
      <c r="O45" s="27">
        <f t="shared" si="20"/>
        <v>0.18710903476126403</v>
      </c>
      <c r="P45" s="2"/>
      <c r="Q45" s="2" t="s">
        <v>134</v>
      </c>
      <c r="R45" s="41">
        <v>0</v>
      </c>
      <c r="S45" s="18">
        <v>0</v>
      </c>
      <c r="T45" s="44">
        <f t="shared" si="17"/>
        <v>0</v>
      </c>
      <c r="U45" s="19">
        <f t="shared" si="18"/>
        <v>0</v>
      </c>
    </row>
    <row r="46" spans="2:21" x14ac:dyDescent="0.25">
      <c r="B46" s="2"/>
      <c r="C46" s="2" t="s">
        <v>38</v>
      </c>
      <c r="D46" s="2"/>
      <c r="E46" s="2"/>
      <c r="F46" s="2"/>
      <c r="G46" s="34">
        <f>IF(U21+U26&lt;=0,"NM",O35*(1-G15)/(U21+U26))</f>
        <v>0.40947974249860164</v>
      </c>
      <c r="H46" s="2"/>
      <c r="I46" s="2" t="s">
        <v>83</v>
      </c>
      <c r="J46" s="23">
        <f>IFERROR(J44/J24,0)</f>
        <v>1.2670391061452511</v>
      </c>
      <c r="K46" s="23">
        <f t="shared" ref="K46:O46" si="21">IFERROR(K44/K24,0)</f>
        <v>1.4046583850931673</v>
      </c>
      <c r="L46" s="23">
        <f t="shared" si="21"/>
        <v>1.8829629629629636</v>
      </c>
      <c r="M46" s="23">
        <f t="shared" si="21"/>
        <v>0.51001017984390939</v>
      </c>
      <c r="N46" s="23">
        <f t="shared" si="21"/>
        <v>0.48008385744234788</v>
      </c>
      <c r="O46" s="23">
        <f t="shared" si="21"/>
        <v>1.9815513626834411</v>
      </c>
      <c r="P46" s="2"/>
      <c r="Q46" s="14" t="s">
        <v>124</v>
      </c>
      <c r="R46" s="15">
        <f>SUM(R41:R45)</f>
        <v>693.3</v>
      </c>
      <c r="S46" s="43"/>
      <c r="T46" s="43"/>
      <c r="U46" s="31">
        <f>SUM(U41:U45)</f>
        <v>19.612446958981611</v>
      </c>
    </row>
    <row r="47" spans="2:21" x14ac:dyDescent="0.25">
      <c r="B47" s="2"/>
      <c r="C47" s="2" t="s">
        <v>39</v>
      </c>
      <c r="D47" s="2"/>
      <c r="E47" s="2"/>
      <c r="F47" s="2"/>
      <c r="G47" s="34" t="str">
        <f>IF(U26&lt;=0,"NM",O44/U26)</f>
        <v>NM</v>
      </c>
      <c r="H47" s="2"/>
      <c r="I47" s="2"/>
      <c r="J47" s="2"/>
      <c r="K47" s="2"/>
      <c r="L47" s="2"/>
      <c r="M47" s="2"/>
      <c r="N47" s="2"/>
      <c r="O47" s="2"/>
      <c r="P47" s="2"/>
      <c r="Q47" s="14"/>
      <c r="R47" s="33"/>
      <c r="S47" s="2"/>
      <c r="T47" s="2"/>
      <c r="U47" s="32"/>
    </row>
    <row r="48" spans="2:21" x14ac:dyDescent="0.25">
      <c r="B48" s="2"/>
      <c r="C48" s="2" t="s">
        <v>40</v>
      </c>
      <c r="D48" s="2"/>
      <c r="E48" s="2"/>
      <c r="F48" s="2"/>
      <c r="G48" s="34">
        <f>IFERROR(O44/U16,"NM")</f>
        <v>0.15592728232538214</v>
      </c>
      <c r="H48" s="2"/>
      <c r="I48" s="7" t="s">
        <v>84</v>
      </c>
      <c r="J48" s="7"/>
      <c r="K48" s="7"/>
      <c r="L48" s="7"/>
      <c r="M48" s="7"/>
      <c r="N48" s="7"/>
      <c r="O48" s="7"/>
      <c r="P48" s="2"/>
      <c r="Q48" s="2"/>
      <c r="R48" s="2"/>
      <c r="S48" s="2"/>
      <c r="T48" s="2"/>
      <c r="U48" s="2"/>
    </row>
    <row r="49" spans="2:21" x14ac:dyDescent="0.25">
      <c r="B49" s="2"/>
      <c r="C49" s="2" t="s">
        <v>41</v>
      </c>
      <c r="D49" s="2"/>
      <c r="E49" s="2"/>
      <c r="F49" s="2"/>
      <c r="G49" s="35">
        <f>G21*4</f>
        <v>0</v>
      </c>
      <c r="H49" s="2"/>
      <c r="I49" s="2" t="s">
        <v>85</v>
      </c>
      <c r="J49" s="41">
        <v>783.7</v>
      </c>
      <c r="K49" s="41">
        <v>894.1</v>
      </c>
      <c r="L49" s="41">
        <v>951.8</v>
      </c>
      <c r="M49" s="41">
        <v>153.80000000000001</v>
      </c>
      <c r="N49" s="41">
        <v>204.5</v>
      </c>
      <c r="O49" s="41">
        <f>L49+N49-M49</f>
        <v>1002.5</v>
      </c>
      <c r="P49" s="2"/>
      <c r="Q49" s="7" t="s">
        <v>141</v>
      </c>
      <c r="R49" s="7"/>
      <c r="S49" s="7"/>
      <c r="T49" s="7"/>
      <c r="U49" s="7"/>
    </row>
    <row r="50" spans="2:21" x14ac:dyDescent="0.25">
      <c r="B50" s="2"/>
      <c r="C50" s="2"/>
      <c r="D50" s="2"/>
      <c r="E50" s="2"/>
      <c r="F50" s="2"/>
      <c r="G50" s="2"/>
      <c r="H50" s="2"/>
      <c r="I50" s="2" t="s">
        <v>86</v>
      </c>
      <c r="J50" s="41">
        <v>24.3</v>
      </c>
      <c r="K50" s="41">
        <v>22.5</v>
      </c>
      <c r="L50" s="41">
        <v>21</v>
      </c>
      <c r="M50" s="41">
        <v>0.1</v>
      </c>
      <c r="N50" s="41">
        <v>1.2</v>
      </c>
      <c r="O50" s="41">
        <f>L50+N50-M50</f>
        <v>22.099999999999998</v>
      </c>
      <c r="P50" s="2"/>
      <c r="Q50" s="2" t="s">
        <v>135</v>
      </c>
      <c r="R50" s="2"/>
      <c r="S50" s="2"/>
      <c r="T50" s="2"/>
      <c r="U50" s="42">
        <v>238</v>
      </c>
    </row>
    <row r="51" spans="2:21" x14ac:dyDescent="0.25">
      <c r="B51" s="2"/>
      <c r="C51" s="7" t="s">
        <v>42</v>
      </c>
      <c r="D51" s="7"/>
      <c r="E51" s="7"/>
      <c r="F51" s="7"/>
      <c r="G51" s="7"/>
      <c r="H51" s="2"/>
      <c r="I51" s="14" t="s">
        <v>87</v>
      </c>
      <c r="J51" s="15">
        <f>J49-J50</f>
        <v>759.40000000000009</v>
      </c>
      <c r="K51" s="15">
        <f t="shared" ref="K51:O51" si="22">K49-K50</f>
        <v>871.6</v>
      </c>
      <c r="L51" s="15">
        <f t="shared" si="22"/>
        <v>930.8</v>
      </c>
      <c r="M51" s="15">
        <f t="shared" si="22"/>
        <v>153.70000000000002</v>
      </c>
      <c r="N51" s="15">
        <f t="shared" si="22"/>
        <v>203.3</v>
      </c>
      <c r="O51" s="15">
        <f t="shared" si="22"/>
        <v>980.4</v>
      </c>
      <c r="P51" s="2"/>
      <c r="Q51" s="2" t="s">
        <v>136</v>
      </c>
      <c r="R51" s="2"/>
      <c r="S51" s="2"/>
      <c r="T51" s="2"/>
      <c r="U51" s="19">
        <f>T37</f>
        <v>0</v>
      </c>
    </row>
    <row r="52" spans="2:21" x14ac:dyDescent="0.25">
      <c r="B52" s="2"/>
      <c r="C52" s="2"/>
      <c r="D52" s="36" t="s">
        <v>43</v>
      </c>
      <c r="E52" s="36" t="s">
        <v>44</v>
      </c>
      <c r="F52" s="36" t="s">
        <v>45</v>
      </c>
      <c r="G52" s="36" t="s">
        <v>46</v>
      </c>
      <c r="H52" s="2"/>
      <c r="I52" s="6" t="s">
        <v>74</v>
      </c>
      <c r="J52" s="27">
        <f>IFERROR(J51/J11,0)</f>
        <v>0.30356571794051812</v>
      </c>
      <c r="K52" s="27">
        <f t="shared" ref="K52:O52" si="23">IFERROR(K51/K11,0)</f>
        <v>0.34204536535593755</v>
      </c>
      <c r="L52" s="27">
        <f t="shared" si="23"/>
        <v>0.36921856406188019</v>
      </c>
      <c r="M52" s="27">
        <f t="shared" si="23"/>
        <v>0.24603809828717785</v>
      </c>
      <c r="N52" s="27">
        <f t="shared" si="23"/>
        <v>0.32295472597299446</v>
      </c>
      <c r="O52" s="27">
        <f t="shared" si="23"/>
        <v>0.38815424815899907</v>
      </c>
      <c r="P52" s="2"/>
      <c r="Q52" s="2" t="s">
        <v>137</v>
      </c>
      <c r="R52" s="2"/>
      <c r="S52" s="2"/>
      <c r="T52" s="2"/>
      <c r="U52" s="37">
        <f>-IFERROR(U37/G18,0)</f>
        <v>0</v>
      </c>
    </row>
    <row r="53" spans="2:21" x14ac:dyDescent="0.25">
      <c r="B53" s="2"/>
      <c r="C53" s="38" t="s">
        <v>47</v>
      </c>
      <c r="D53" s="2"/>
      <c r="E53" s="2"/>
      <c r="F53" s="2"/>
      <c r="G53" s="2"/>
      <c r="H53" s="2"/>
      <c r="I53" s="2" t="s">
        <v>88</v>
      </c>
      <c r="J53" s="23">
        <f>IFERROR(J51/J24,0)</f>
        <v>2.1212290502793301</v>
      </c>
      <c r="K53" s="23">
        <f t="shared" ref="K53:O53" si="24">IFERROR(K51/K24,0)</f>
        <v>2.7068322981366459</v>
      </c>
      <c r="L53" s="23">
        <f t="shared" si="24"/>
        <v>3.447407407407407</v>
      </c>
      <c r="M53" s="23">
        <f t="shared" si="24"/>
        <v>0.52154733627417715</v>
      </c>
      <c r="N53" s="23">
        <f t="shared" si="24"/>
        <v>0.85241090146750531</v>
      </c>
      <c r="O53" s="23">
        <f t="shared" si="24"/>
        <v>4.110691823899371</v>
      </c>
      <c r="P53" s="2"/>
      <c r="Q53" s="2" t="s">
        <v>138</v>
      </c>
      <c r="R53" s="2"/>
      <c r="S53" s="2"/>
      <c r="T53" s="2"/>
      <c r="U53" s="19">
        <f>U51+U52</f>
        <v>0</v>
      </c>
    </row>
    <row r="54" spans="2:21" x14ac:dyDescent="0.25">
      <c r="B54" s="2"/>
      <c r="C54" s="2" t="s">
        <v>48</v>
      </c>
      <c r="D54" s="34">
        <f>IFERROR(L11/K11-1,"NA")</f>
        <v>-1.0674201397064542E-2</v>
      </c>
      <c r="E54" s="34">
        <f>IF(OR(K38&lt;=0,L38&lt;=0),"NM",L38/K38-1)</f>
        <v>0.35765838011227014</v>
      </c>
      <c r="F54" s="34">
        <f>IF(OR(K51&lt;=0,L51&lt;=0),"NM",L51/K51-1)</f>
        <v>6.7921064708581946E-2</v>
      </c>
      <c r="G54" s="34">
        <f>IF(OR(K46&lt;=0,L46&lt;=0),"NM",L46/K46-1)</f>
        <v>0.34051309766543092</v>
      </c>
      <c r="H54" s="2"/>
      <c r="I54" s="2" t="s">
        <v>78</v>
      </c>
      <c r="J54" s="25">
        <f>J37</f>
        <v>170</v>
      </c>
      <c r="K54" s="25">
        <f t="shared" ref="K54:O54" si="25">K37</f>
        <v>137.30000000000001</v>
      </c>
      <c r="L54" s="25">
        <f t="shared" si="25"/>
        <v>157.4</v>
      </c>
      <c r="M54" s="25">
        <f t="shared" si="25"/>
        <v>38.1</v>
      </c>
      <c r="N54" s="25">
        <f t="shared" si="25"/>
        <v>39.1</v>
      </c>
      <c r="O54" s="25">
        <f t="shared" si="25"/>
        <v>158.4</v>
      </c>
      <c r="P54" s="2"/>
      <c r="Q54" s="2" t="s">
        <v>139</v>
      </c>
      <c r="R54" s="2"/>
      <c r="S54" s="2"/>
      <c r="T54" s="2"/>
      <c r="U54" s="19">
        <v>0</v>
      </c>
    </row>
    <row r="55" spans="2:21" ht="14.4" thickBot="1" x14ac:dyDescent="0.3">
      <c r="B55" s="2"/>
      <c r="C55" s="2" t="s">
        <v>49</v>
      </c>
      <c r="D55" s="34">
        <f>IFERROR((L11/J11)^(1/2)-1,"NA")</f>
        <v>3.8700298228169228E-3</v>
      </c>
      <c r="E55" s="34">
        <f>IF(OR(J38&lt;=0,L38&lt;=0),"NM",(L38/J38)^(1/2)-1)</f>
        <v>9.2904627542932383E-2</v>
      </c>
      <c r="F55" s="34">
        <f>IF(OR(J51&lt;=0,L51&lt;=0),"NM",(L51/J51)^(1/2)-1)</f>
        <v>0.10711539757851729</v>
      </c>
      <c r="G55" s="34">
        <f>IF(OR(J46&lt;=0,L46&lt;=0),"NM",(L46/J46)^(1/2)-1)</f>
        <v>0.21906223964875404</v>
      </c>
      <c r="H55" s="2"/>
      <c r="I55" s="6" t="s">
        <v>89</v>
      </c>
      <c r="J55" s="27">
        <f>IFERROR(J54/J11,0)</f>
        <v>6.7956507834985608E-2</v>
      </c>
      <c r="K55" s="27">
        <f t="shared" ref="K55:O55" si="26">IFERROR(K54/K11,0)</f>
        <v>5.3881171022682688E-2</v>
      </c>
      <c r="L55" s="27">
        <f t="shared" si="26"/>
        <v>6.2435541451804841E-2</v>
      </c>
      <c r="M55" s="27">
        <f t="shared" si="26"/>
        <v>6.0989274851928926E-2</v>
      </c>
      <c r="N55" s="27">
        <f t="shared" si="26"/>
        <v>6.2112787926926136E-2</v>
      </c>
      <c r="O55" s="27">
        <f t="shared" si="26"/>
        <v>6.2712803864122257E-2</v>
      </c>
      <c r="P55" s="2"/>
      <c r="Q55" s="14" t="s">
        <v>18</v>
      </c>
      <c r="R55" s="2"/>
      <c r="S55" s="2"/>
      <c r="T55" s="2"/>
      <c r="U55" s="39">
        <f>U50+U53+U54</f>
        <v>238</v>
      </c>
    </row>
    <row r="56" spans="2:21" ht="14.4" thickTop="1" x14ac:dyDescent="0.25">
      <c r="B56" s="2"/>
      <c r="C56" s="38" t="s">
        <v>50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2:21" x14ac:dyDescent="0.25">
      <c r="B57" s="2"/>
      <c r="C57" s="2" t="s">
        <v>48</v>
      </c>
      <c r="D57" s="34">
        <f>IFERROR(E34/L11-1,"NM")</f>
        <v>-6.3466878222927514E-3</v>
      </c>
      <c r="E57" s="30" t="s">
        <v>9</v>
      </c>
      <c r="F57" s="30" t="s">
        <v>9</v>
      </c>
      <c r="G57" s="30" t="s">
        <v>9</v>
      </c>
      <c r="H57" s="2"/>
      <c r="I57" s="7" t="s">
        <v>90</v>
      </c>
      <c r="J57" s="7"/>
      <c r="K57" s="7"/>
      <c r="L57" s="7"/>
      <c r="M57" s="7"/>
      <c r="N57" s="7"/>
      <c r="O57" s="7"/>
      <c r="P57" s="40"/>
      <c r="Q57" s="40"/>
      <c r="R57" s="40"/>
      <c r="S57" s="40"/>
      <c r="T57" s="40"/>
      <c r="U57" s="40"/>
    </row>
    <row r="58" spans="2:21" x14ac:dyDescent="0.25">
      <c r="B58" s="2"/>
      <c r="C58" s="2" t="s">
        <v>49</v>
      </c>
      <c r="D58" s="30" t="s">
        <v>9</v>
      </c>
      <c r="E58" s="30" t="s">
        <v>9</v>
      </c>
      <c r="F58" s="30" t="s">
        <v>9</v>
      </c>
      <c r="G58" s="30" t="s">
        <v>9</v>
      </c>
      <c r="H58" s="2"/>
      <c r="I58" s="2" t="s">
        <v>91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2:21" x14ac:dyDescent="0.25">
      <c r="B59" s="2"/>
      <c r="C59" s="2" t="s">
        <v>51</v>
      </c>
      <c r="D59" s="30" t="s">
        <v>9</v>
      </c>
      <c r="E59" s="30" t="s">
        <v>9</v>
      </c>
      <c r="F59" s="30" t="s">
        <v>9</v>
      </c>
      <c r="G59" s="30" t="s">
        <v>9</v>
      </c>
      <c r="H59" s="2"/>
      <c r="I59" s="2" t="s">
        <v>92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2:2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2:2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2:2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2:2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2:2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2:2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2:2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2:2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2:2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2:2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2:2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2:2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2:2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2:2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2:2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2:2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2:2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2:2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2:2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2:2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2:2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2:2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2:2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2:2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2:2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2:2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2:2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2:2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2:2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2:2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2:2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2:2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2:2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2:2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2:2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2:2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2:2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2:2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2:2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2:2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2:2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2:2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2:2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2:2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2:2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2:2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2:2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2:2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2:2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2:2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2:2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2:2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2:2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2:2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2:2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2:2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2:2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2:2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2:2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2:2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2:2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2:2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2:2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2:2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2:2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2:2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2:2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2:2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2:2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2:2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2:2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2:2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2:2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2:2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2:2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2:2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2:2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2:2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2:2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2:2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2:2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2:2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2:2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2:2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2:2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2:2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2:2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2:2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2:2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2:2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2:2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2:2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2:2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2:2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2:2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2:2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2:2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2:2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2:2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2:2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2:2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2:2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2:2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2:2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2:2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2:2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2:2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2:2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2:2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2:2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2:2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2:2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2:2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2:2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2:2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2:2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2:2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2:2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2:2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2:2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2:2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2:2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2:2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2:2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2:2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2:2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2:2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2:2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2:2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2:2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2:2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2:2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2:2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2:2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2:2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2:2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2:2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2:2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2:2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2:2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2:2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2:2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2:2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</sheetData>
  <printOptions horizontalCentered="1"/>
  <pageMargins left="0.5" right="0.5" top="0.6" bottom="0.6" header="0.3" footer="0.3"/>
  <pageSetup scale="47" fitToHeight="0" orientation="landscape" r:id="rId1"/>
  <headerFooter>
    <oddHeader>&amp;L&amp;"Times New Roman"&amp;9 Adobe Inc. (ADBE) — Trading Comparables&amp;R&amp;"Times New Roman"&amp;9&amp;A</oddHeader>
    <oddFooter>&amp;L&amp;"Times New Roman"&amp;8 Confidential&amp;C&amp;"Times New Roman"&amp;8 Page &amp;P of &amp;N&amp;R&amp;"Times New Roman"&amp;8 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9E5D5-40AB-4888-8F52-D8697B181122}">
  <sheetPr>
    <pageSetUpPr fitToPage="1"/>
  </sheetPr>
  <dimension ref="B3:V71"/>
  <sheetViews>
    <sheetView showGridLines="0" topLeftCell="D47" workbookViewId="0">
      <selection activeCell="D6" sqref="D6"/>
    </sheetView>
  </sheetViews>
  <sheetFormatPr defaultRowHeight="13.8" x14ac:dyDescent="0.25"/>
  <cols>
    <col min="1" max="1" width="8.88671875" style="1"/>
    <col min="2" max="2" width="2.5546875" style="1" customWidth="1"/>
    <col min="3" max="3" width="25.5546875" style="1" customWidth="1"/>
    <col min="4" max="4" width="8.109375" style="1" customWidth="1"/>
    <col min="5" max="8" width="10" style="1" customWidth="1"/>
    <col min="9" max="22" width="7.77734375" style="1" customWidth="1"/>
    <col min="23" max="16384" width="8.88671875" style="1"/>
  </cols>
  <sheetData>
    <row r="3" spans="3:22" ht="34.049999999999997" customHeight="1" x14ac:dyDescent="0.25">
      <c r="C3" s="192" t="s">
        <v>148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</row>
    <row r="4" spans="3:22" ht="19.95" customHeight="1" x14ac:dyDescent="0.25">
      <c r="C4" s="193" t="s">
        <v>232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</row>
    <row r="5" spans="3:22" ht="16.05" customHeight="1" x14ac:dyDescent="0.25">
      <c r="C5" s="194" t="s">
        <v>1</v>
      </c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</row>
    <row r="7" spans="3:22" x14ac:dyDescent="0.25">
      <c r="C7" s="196" t="s">
        <v>193</v>
      </c>
      <c r="D7" s="180" t="s">
        <v>4</v>
      </c>
      <c r="E7" s="180" t="s">
        <v>233</v>
      </c>
      <c r="F7" s="180" t="s">
        <v>234</v>
      </c>
      <c r="G7" s="180" t="s">
        <v>19</v>
      </c>
      <c r="H7" s="180" t="s">
        <v>24</v>
      </c>
      <c r="I7" s="251" t="s">
        <v>238</v>
      </c>
      <c r="J7" s="251"/>
      <c r="K7" s="251"/>
      <c r="L7" s="251"/>
      <c r="M7" s="251"/>
      <c r="N7" s="251"/>
      <c r="O7" s="251"/>
      <c r="P7" s="251"/>
      <c r="Q7" s="251"/>
      <c r="R7" s="180" t="s">
        <v>235</v>
      </c>
      <c r="S7" s="180" t="s">
        <v>236</v>
      </c>
      <c r="T7" s="251" t="s">
        <v>239</v>
      </c>
      <c r="U7" s="251"/>
      <c r="V7" s="252"/>
    </row>
    <row r="8" spans="3:22" x14ac:dyDescent="0.25">
      <c r="C8" s="197"/>
      <c r="D8" s="230"/>
      <c r="E8" s="230"/>
      <c r="F8" s="230"/>
      <c r="G8" s="230"/>
      <c r="H8" s="230"/>
      <c r="I8" s="182" t="s">
        <v>43</v>
      </c>
      <c r="J8" s="182"/>
      <c r="K8" s="182"/>
      <c r="L8" s="199" t="s">
        <v>44</v>
      </c>
      <c r="M8" s="199"/>
      <c r="N8" s="199"/>
      <c r="O8" s="199" t="s">
        <v>59</v>
      </c>
      <c r="P8" s="199"/>
      <c r="Q8" s="199"/>
      <c r="R8" s="230"/>
      <c r="S8" s="230"/>
      <c r="T8" s="199" t="s">
        <v>46</v>
      </c>
      <c r="U8" s="199"/>
      <c r="V8" s="253"/>
    </row>
    <row r="9" spans="3:22" ht="16.05" customHeight="1" thickBot="1" x14ac:dyDescent="0.3">
      <c r="C9" s="254"/>
      <c r="D9" s="198"/>
      <c r="E9" s="198"/>
      <c r="F9" s="198"/>
      <c r="G9" s="198"/>
      <c r="H9" s="198"/>
      <c r="I9" s="58" t="s">
        <v>26</v>
      </c>
      <c r="J9" s="58" t="s">
        <v>27</v>
      </c>
      <c r="K9" s="58" t="s">
        <v>28</v>
      </c>
      <c r="L9" s="58" t="s">
        <v>26</v>
      </c>
      <c r="M9" s="58" t="s">
        <v>27</v>
      </c>
      <c r="N9" s="58" t="s">
        <v>28</v>
      </c>
      <c r="O9" s="58" t="s">
        <v>26</v>
      </c>
      <c r="P9" s="58" t="s">
        <v>27</v>
      </c>
      <c r="Q9" s="58" t="s">
        <v>28</v>
      </c>
      <c r="R9" s="198"/>
      <c r="S9" s="198"/>
      <c r="T9" s="58" t="s">
        <v>26</v>
      </c>
      <c r="U9" s="58" t="s">
        <v>27</v>
      </c>
      <c r="V9" s="255" t="s">
        <v>28</v>
      </c>
    </row>
    <row r="10" spans="3:22" x14ac:dyDescent="0.25">
      <c r="C10" s="256" t="str">
        <f>'Input Page-ADBE'!G8</f>
        <v>Adobe Inc.</v>
      </c>
      <c r="D10" s="231" t="str">
        <f>'Input Page-ADBE'!G9</f>
        <v>ADBE</v>
      </c>
      <c r="E10" s="232">
        <f>'Input Page-ADBE'!G18</f>
        <v>218</v>
      </c>
      <c r="F10" s="233">
        <f>IFERROR('Input Page-ADBE'!G18/'Input Page-ADBE'!G19,"NA")</f>
        <v>0.56389032591826171</v>
      </c>
      <c r="G10" s="234">
        <f>'Input Page-ADBE'!G23</f>
        <v>86982</v>
      </c>
      <c r="H10" s="234">
        <f>'Input Page-ADBE'!G28</f>
        <v>88001</v>
      </c>
      <c r="I10" s="235">
        <f>'Input Page-ADBE'!D33</f>
        <v>3.4923803476466384</v>
      </c>
      <c r="J10" s="235">
        <f>'Input Page-ADBE'!E33</f>
        <v>3.3182880844645553</v>
      </c>
      <c r="K10" s="235">
        <f>'Input Page-ADBE'!F33</f>
        <v>3.0460713049498098</v>
      </c>
      <c r="L10" s="235">
        <f>'Input Page-ADBE'!D35</f>
        <v>8.9350187836328558</v>
      </c>
      <c r="M10" s="235" t="str">
        <f>'Input Page-ADBE'!E35</f>
        <v>NA</v>
      </c>
      <c r="N10" s="235" t="str">
        <f>'Input Page-ADBE'!F35</f>
        <v>NA</v>
      </c>
      <c r="O10" s="235">
        <f>'Input Page-ADBE'!D37</f>
        <v>9.6810781078107819</v>
      </c>
      <c r="P10" s="235" t="str">
        <f>'Input Page-ADBE'!E37</f>
        <v>NA</v>
      </c>
      <c r="Q10" s="235" t="str">
        <f>'Input Page-ADBE'!F37</f>
        <v>NA</v>
      </c>
      <c r="R10" s="233">
        <f>IFERROR('Input Page-ADBE'!O38/'Input Page-ADBE'!O11,"NM")</f>
        <v>0.39086435431383443</v>
      </c>
      <c r="S10" s="235">
        <f>IFERROR('Input Page-ADBE'!U21/'Input Page-ADBE'!O38,"NM")</f>
        <v>0.67468778556198594</v>
      </c>
      <c r="T10" s="235">
        <f>'Input Page-ADBE'!D39</f>
        <v>12.273620141098354</v>
      </c>
      <c r="U10" s="235">
        <f>'Input Page-ADBE'!E39</f>
        <v>8.927108927108927</v>
      </c>
      <c r="V10" s="257">
        <f>'Input Page-ADBE'!F39</f>
        <v>7.9186342172175808</v>
      </c>
    </row>
    <row r="11" spans="3:22" x14ac:dyDescent="0.25">
      <c r="C11" s="62"/>
      <c r="D11" s="236"/>
      <c r="E11" s="237"/>
      <c r="F11" s="238"/>
      <c r="G11" s="239"/>
      <c r="H11" s="239"/>
      <c r="I11" s="240"/>
      <c r="J11" s="240"/>
      <c r="K11" s="240"/>
      <c r="L11" s="240"/>
      <c r="M11" s="240"/>
      <c r="N11" s="240"/>
      <c r="O11" s="240"/>
      <c r="P11" s="240"/>
      <c r="Q11" s="240"/>
      <c r="R11" s="238"/>
      <c r="S11" s="240"/>
      <c r="T11" s="240"/>
      <c r="U11" s="240"/>
      <c r="V11" s="258"/>
    </row>
    <row r="12" spans="3:22" x14ac:dyDescent="0.25">
      <c r="C12" s="184" t="s">
        <v>204</v>
      </c>
      <c r="D12" s="241"/>
      <c r="E12" s="242"/>
      <c r="F12" s="243"/>
      <c r="G12" s="244"/>
      <c r="H12" s="244"/>
      <c r="I12" s="245"/>
      <c r="J12" s="245"/>
      <c r="K12" s="245"/>
      <c r="L12" s="245"/>
      <c r="M12" s="245"/>
      <c r="N12" s="245"/>
      <c r="O12" s="245"/>
      <c r="P12" s="245"/>
      <c r="Q12" s="245"/>
      <c r="R12" s="243"/>
      <c r="S12" s="245"/>
      <c r="T12" s="245"/>
      <c r="U12" s="245"/>
      <c r="V12" s="259"/>
    </row>
    <row r="13" spans="3:22" x14ac:dyDescent="0.25">
      <c r="C13" s="62" t="str">
        <f>'Input Page-ADSK'!G8</f>
        <v>Autodesk, Inc.</v>
      </c>
      <c r="D13" s="236" t="str">
        <f>'Input Page-ADSK'!G9</f>
        <v>ADSK</v>
      </c>
      <c r="E13" s="237">
        <f>'Input Page-ADSK'!G18</f>
        <v>214</v>
      </c>
      <c r="F13" s="238">
        <f>IFERROR('Input Page-ADSK'!G18/'Input Page-ADSK'!G19,"NA")</f>
        <v>0.65027803944209794</v>
      </c>
      <c r="G13" s="239">
        <f>'Input Page-ADSK'!G23</f>
        <v>45154</v>
      </c>
      <c r="H13" s="239">
        <f>'Input Page-ADSK'!G28</f>
        <v>44713</v>
      </c>
      <c r="I13" s="240">
        <f>'Input Page-ADSK'!D33</f>
        <v>5.9561742373784465</v>
      </c>
      <c r="J13" s="240">
        <f>'Input Page-ADSK'!E33</f>
        <v>5.4627978008552232</v>
      </c>
      <c r="K13" s="240" t="str">
        <f>'Input Page-ADSK'!F33</f>
        <v>NA</v>
      </c>
      <c r="L13" s="240">
        <f>'Input Page-ADSK'!D35</f>
        <v>21.455374280230327</v>
      </c>
      <c r="M13" s="240" t="str">
        <f>'Input Page-ADSK'!E35</f>
        <v>NA</v>
      </c>
      <c r="N13" s="240" t="str">
        <f>'Input Page-ADSK'!F35</f>
        <v>NA</v>
      </c>
      <c r="O13" s="240">
        <f>'Input Page-ADSK'!D37</f>
        <v>23.707847295864262</v>
      </c>
      <c r="P13" s="240" t="str">
        <f>'Input Page-ADSK'!E37</f>
        <v>NA</v>
      </c>
      <c r="Q13" s="240" t="str">
        <f>'Input Page-ADSK'!F37</f>
        <v>NA</v>
      </c>
      <c r="R13" s="238">
        <f>IFERROR('Input Page-ADSK'!O38/'Input Page-ADSK'!O11,"NM")</f>
        <v>0.27760756627147998</v>
      </c>
      <c r="S13" s="240">
        <f>IFERROR('Input Page-ADSK'!U21/'Input Page-ADSK'!O38,"NM")</f>
        <v>1.1914587332053743</v>
      </c>
      <c r="T13" s="240">
        <f>'Input Page-ADSK'!D39</f>
        <v>31.302802460697201</v>
      </c>
      <c r="U13" s="240">
        <f>'Input Page-ADSK'!E39</f>
        <v>17.12</v>
      </c>
      <c r="V13" s="258" t="str">
        <f>'Input Page-ADSK'!F39</f>
        <v>NA</v>
      </c>
    </row>
    <row r="14" spans="3:22" x14ac:dyDescent="0.25">
      <c r="C14" s="62" t="str">
        <f>'Input Page-FIG'!G8</f>
        <v>Figma, Inc.</v>
      </c>
      <c r="D14" s="236" t="str">
        <f>'Input Page-FIG'!G9</f>
        <v>FIG</v>
      </c>
      <c r="E14" s="237">
        <f>'Input Page-FIG'!G18</f>
        <v>21.08</v>
      </c>
      <c r="F14" s="238">
        <f>IFERROR('Input Page-FIG'!G18/'Input Page-FIG'!G19,"NA")</f>
        <v>0.14749510215505177</v>
      </c>
      <c r="G14" s="239">
        <f>'Input Page-FIG'!G23</f>
        <v>10540</v>
      </c>
      <c r="H14" s="239">
        <f>'Input Page-FIG'!G28</f>
        <v>8885.7999999999993</v>
      </c>
      <c r="I14" s="240">
        <f>'Input Page-FIG'!D33</f>
        <v>7.6535745047372963</v>
      </c>
      <c r="J14" s="240">
        <f>'Input Page-FIG'!E33</f>
        <v>6.2356491228070174</v>
      </c>
      <c r="K14" s="240" t="str">
        <f>'Input Page-FIG'!F33</f>
        <v>NA</v>
      </c>
      <c r="L14" s="240" t="str">
        <f>'Input Page-FIG'!D35</f>
        <v>NM</v>
      </c>
      <c r="M14" s="240" t="str">
        <f>'Input Page-FIG'!E35</f>
        <v>NA</v>
      </c>
      <c r="N14" s="240" t="str">
        <f>'Input Page-FIG'!F35</f>
        <v>NA</v>
      </c>
      <c r="O14" s="240" t="str">
        <f>'Input Page-FIG'!D37</f>
        <v>NM</v>
      </c>
      <c r="P14" s="240" t="str">
        <f>'Input Page-FIG'!E37</f>
        <v>NA</v>
      </c>
      <c r="Q14" s="240" t="str">
        <f>'Input Page-FIG'!F37</f>
        <v>NA</v>
      </c>
      <c r="R14" s="238">
        <f>IFERROR('Input Page-FIG'!O38/'Input Page-FIG'!O11,"NM")</f>
        <v>-0.40628768303186907</v>
      </c>
      <c r="S14" s="240">
        <f>IFERROR('Input Page-FIG'!U21/'Input Page-FIG'!O38,"NM")</f>
        <v>0</v>
      </c>
      <c r="T14" s="240" t="str">
        <f>'Input Page-FIG'!D39</f>
        <v>NM</v>
      </c>
      <c r="U14" s="240" t="str">
        <f>'Input Page-FIG'!E39</f>
        <v>NM</v>
      </c>
      <c r="V14" s="258" t="str">
        <f>'Input Page-FIG'!F39</f>
        <v>NA</v>
      </c>
    </row>
    <row r="15" spans="3:22" x14ac:dyDescent="0.25">
      <c r="C15" s="134" t="s">
        <v>207</v>
      </c>
      <c r="D15" s="110"/>
      <c r="E15" s="116"/>
      <c r="F15" s="111">
        <f>IFERROR(AVERAGE(F13:F14),"NA")</f>
        <v>0.39888657079857487</v>
      </c>
      <c r="G15" s="112"/>
      <c r="H15" s="112"/>
      <c r="I15" s="113">
        <f>IFERROR(AVERAGE(I13:I14),"NA")</f>
        <v>6.8048743710578714</v>
      </c>
      <c r="J15" s="113">
        <f t="shared" ref="J15:V15" si="0">IFERROR(AVERAGE(J13:J14),"NA")</f>
        <v>5.8492234618311203</v>
      </c>
      <c r="K15" s="113" t="str">
        <f t="shared" si="0"/>
        <v>NA</v>
      </c>
      <c r="L15" s="113">
        <f t="shared" si="0"/>
        <v>21.455374280230327</v>
      </c>
      <c r="M15" s="113" t="str">
        <f t="shared" si="0"/>
        <v>NA</v>
      </c>
      <c r="N15" s="113" t="str">
        <f t="shared" si="0"/>
        <v>NA</v>
      </c>
      <c r="O15" s="113">
        <f t="shared" si="0"/>
        <v>23.707847295864262</v>
      </c>
      <c r="P15" s="113" t="str">
        <f t="shared" si="0"/>
        <v>NA</v>
      </c>
      <c r="Q15" s="113" t="str">
        <f t="shared" si="0"/>
        <v>NA</v>
      </c>
      <c r="R15" s="111">
        <f t="shared" si="0"/>
        <v>-6.4340058380194548E-2</v>
      </c>
      <c r="S15" s="113">
        <f t="shared" si="0"/>
        <v>0.59572936660268716</v>
      </c>
      <c r="T15" s="113">
        <f t="shared" si="0"/>
        <v>31.302802460697201</v>
      </c>
      <c r="U15" s="113">
        <f t="shared" si="0"/>
        <v>17.12</v>
      </c>
      <c r="V15" s="260" t="str">
        <f t="shared" si="0"/>
        <v>NA</v>
      </c>
    </row>
    <row r="16" spans="3:22" x14ac:dyDescent="0.25">
      <c r="C16" s="135" t="s">
        <v>208</v>
      </c>
      <c r="D16" s="246"/>
      <c r="E16" s="247"/>
      <c r="F16" s="248">
        <f>IFERROR(MEDIAN(F13:F14),"NA")</f>
        <v>0.39888657079857481</v>
      </c>
      <c r="G16" s="249"/>
      <c r="H16" s="249"/>
      <c r="I16" s="250">
        <f>IFERROR(MEDIAN(I13:I14),"NA")</f>
        <v>6.8048743710578714</v>
      </c>
      <c r="J16" s="250">
        <f t="shared" ref="J16:V16" si="1">IFERROR(MEDIAN(J13:J14),"NA")</f>
        <v>5.8492234618311203</v>
      </c>
      <c r="K16" s="250" t="str">
        <f t="shared" si="1"/>
        <v>NA</v>
      </c>
      <c r="L16" s="250">
        <f t="shared" si="1"/>
        <v>21.455374280230327</v>
      </c>
      <c r="M16" s="250" t="str">
        <f t="shared" si="1"/>
        <v>NA</v>
      </c>
      <c r="N16" s="250" t="str">
        <f t="shared" si="1"/>
        <v>NA</v>
      </c>
      <c r="O16" s="250">
        <f t="shared" si="1"/>
        <v>23.707847295864262</v>
      </c>
      <c r="P16" s="250" t="str">
        <f t="shared" si="1"/>
        <v>NA</v>
      </c>
      <c r="Q16" s="250" t="str">
        <f t="shared" si="1"/>
        <v>NA</v>
      </c>
      <c r="R16" s="248">
        <f t="shared" si="1"/>
        <v>-6.4340058380194576E-2</v>
      </c>
      <c r="S16" s="250">
        <f t="shared" si="1"/>
        <v>0.59572936660268716</v>
      </c>
      <c r="T16" s="250">
        <f t="shared" si="1"/>
        <v>31.302802460697201</v>
      </c>
      <c r="U16" s="250">
        <f t="shared" si="1"/>
        <v>17.12</v>
      </c>
      <c r="V16" s="261" t="str">
        <f t="shared" si="1"/>
        <v>NA</v>
      </c>
    </row>
    <row r="17" spans="3:22" x14ac:dyDescent="0.25">
      <c r="C17" s="62"/>
      <c r="D17" s="236"/>
      <c r="E17" s="237"/>
      <c r="F17" s="238"/>
      <c r="G17" s="239"/>
      <c r="H17" s="239"/>
      <c r="I17" s="240"/>
      <c r="J17" s="240"/>
      <c r="K17" s="240"/>
      <c r="L17" s="240"/>
      <c r="M17" s="240"/>
      <c r="N17" s="240"/>
      <c r="O17" s="240"/>
      <c r="P17" s="240"/>
      <c r="Q17" s="240"/>
      <c r="R17" s="238"/>
      <c r="S17" s="240"/>
      <c r="T17" s="240"/>
      <c r="U17" s="240"/>
      <c r="V17" s="258"/>
    </row>
    <row r="18" spans="3:22" x14ac:dyDescent="0.25">
      <c r="C18" s="184" t="s">
        <v>205</v>
      </c>
      <c r="D18" s="241"/>
      <c r="E18" s="242"/>
      <c r="F18" s="243"/>
      <c r="G18" s="244"/>
      <c r="H18" s="244"/>
      <c r="I18" s="245"/>
      <c r="J18" s="245"/>
      <c r="K18" s="245"/>
      <c r="L18" s="245"/>
      <c r="M18" s="245"/>
      <c r="N18" s="245"/>
      <c r="O18" s="245"/>
      <c r="P18" s="245"/>
      <c r="Q18" s="245"/>
      <c r="R18" s="243"/>
      <c r="S18" s="245"/>
      <c r="T18" s="245"/>
      <c r="U18" s="245"/>
      <c r="V18" s="259"/>
    </row>
    <row r="19" spans="3:22" x14ac:dyDescent="0.25">
      <c r="C19" s="62" t="str">
        <f>'Input Page-CRM'!G8</f>
        <v>Salesforce, Inc.</v>
      </c>
      <c r="D19" s="236" t="str">
        <f>'Input Page-CRM'!G9</f>
        <v>CRM</v>
      </c>
      <c r="E19" s="237">
        <f>'Input Page-CRM'!G18</f>
        <v>166</v>
      </c>
      <c r="F19" s="238">
        <f>IFERROR('Input Page-CRM'!G18/'Input Page-CRM'!G19,"NA")</f>
        <v>0.5997109826589595</v>
      </c>
      <c r="G19" s="239">
        <f>'Input Page-CRM'!G23</f>
        <v>147740</v>
      </c>
      <c r="H19" s="239">
        <f>'Input Page-CRM'!G28</f>
        <v>175183</v>
      </c>
      <c r="I19" s="240">
        <f>'Input Page-CRM'!D33</f>
        <v>4.0902892899670782</v>
      </c>
      <c r="J19" s="240">
        <f>'Input Page-CRM'!E33</f>
        <v>3.8083260869565216</v>
      </c>
      <c r="K19" s="240" t="str">
        <f>'Input Page-CRM'!F33</f>
        <v>NA</v>
      </c>
      <c r="L19" s="240">
        <f>'Input Page-CRM'!D35</f>
        <v>14.004556719162203</v>
      </c>
      <c r="M19" s="240" t="str">
        <f>'Input Page-CRM'!E35</f>
        <v>NA</v>
      </c>
      <c r="N19" s="240" t="str">
        <f>'Input Page-CRM'!F35</f>
        <v>NA</v>
      </c>
      <c r="O19" s="240">
        <f>'Input Page-CRM'!D37</f>
        <v>20.052999084249084</v>
      </c>
      <c r="P19" s="240" t="str">
        <f>'Input Page-CRM'!E37</f>
        <v>NA</v>
      </c>
      <c r="Q19" s="240" t="str">
        <f>'Input Page-CRM'!F37</f>
        <v>NA</v>
      </c>
      <c r="R19" s="238">
        <f>IFERROR('Input Page-CRM'!O38/'Input Page-CRM'!O11,"NM")</f>
        <v>0.29206845828760886</v>
      </c>
      <c r="S19" s="240">
        <f>IFERROR('Input Page-CRM'!U21/'Input Page-CRM'!O38,"NM")</f>
        <v>3.1401390998481093</v>
      </c>
      <c r="T19" s="240">
        <f>'Input Page-CRM'!D39</f>
        <v>18.021438364701481</v>
      </c>
      <c r="U19" s="240">
        <f>'Input Page-CRM'!E39</f>
        <v>11.756373937677054</v>
      </c>
      <c r="V19" s="258" t="str">
        <f>'Input Page-CRM'!F39</f>
        <v>NA</v>
      </c>
    </row>
    <row r="20" spans="3:22" x14ac:dyDescent="0.25">
      <c r="C20" s="62" t="str">
        <f>'Input Page-HUBS'!G8</f>
        <v>HubSpot, Inc.</v>
      </c>
      <c r="D20" s="236" t="str">
        <f>'Input Page-HUBS'!G9</f>
        <v>HUBS</v>
      </c>
      <c r="E20" s="237">
        <f>'Input Page-HUBS'!G18</f>
        <v>202</v>
      </c>
      <c r="F20" s="238">
        <f>IFERROR('Input Page-HUBS'!G18/'Input Page-HUBS'!G19,"NA")</f>
        <v>0.35553365249225571</v>
      </c>
      <c r="G20" s="239">
        <f>'Input Page-HUBS'!G23</f>
        <v>10605</v>
      </c>
      <c r="H20" s="239">
        <f>'Input Page-HUBS'!G28</f>
        <v>8913.9</v>
      </c>
      <c r="I20" s="240">
        <f>'Input Page-HUBS'!D33</f>
        <v>2.7590380091618174</v>
      </c>
      <c r="J20" s="240">
        <f>'Input Page-HUBS'!E33</f>
        <v>2.4065604751619869</v>
      </c>
      <c r="K20" s="240" t="str">
        <f>'Input Page-HUBS'!F33</f>
        <v>NA</v>
      </c>
      <c r="L20" s="240">
        <f>'Input Page-HUBS'!D35</f>
        <v>42.34631828978619</v>
      </c>
      <c r="M20" s="240" t="str">
        <f>'Input Page-HUBS'!E35</f>
        <v>NA</v>
      </c>
      <c r="N20" s="240" t="str">
        <f>'Input Page-HUBS'!F35</f>
        <v>NA</v>
      </c>
      <c r="O20" s="240" t="str">
        <f>'Input Page-HUBS'!D37</f>
        <v>NM</v>
      </c>
      <c r="P20" s="240" t="str">
        <f>'Input Page-HUBS'!E37</f>
        <v>NA</v>
      </c>
      <c r="Q20" s="240" t="str">
        <f>'Input Page-HUBS'!F37</f>
        <v>NA</v>
      </c>
      <c r="R20" s="238">
        <f>IFERROR('Input Page-HUBS'!O38/'Input Page-HUBS'!O11,"NM")</f>
        <v>6.5154141389129672E-2</v>
      </c>
      <c r="S20" s="240">
        <f>IFERROR('Input Page-HUBS'!U21/'Input Page-HUBS'!O38,"NM")</f>
        <v>0</v>
      </c>
      <c r="T20" s="240" t="str">
        <f>'Input Page-HUBS'!D39</f>
        <v>NM</v>
      </c>
      <c r="U20" s="240">
        <f>'Input Page-HUBS'!E39</f>
        <v>15.443425076452598</v>
      </c>
      <c r="V20" s="258" t="str">
        <f>'Input Page-HUBS'!F39</f>
        <v>NA</v>
      </c>
    </row>
    <row r="21" spans="3:22" x14ac:dyDescent="0.25">
      <c r="C21" s="134" t="s">
        <v>207</v>
      </c>
      <c r="D21" s="110"/>
      <c r="E21" s="116"/>
      <c r="F21" s="111">
        <f>IFERROR(AVERAGE(F19:F20),"NA")</f>
        <v>0.47762231757560758</v>
      </c>
      <c r="G21" s="112"/>
      <c r="H21" s="112"/>
      <c r="I21" s="113">
        <f>IFERROR(AVERAGE(I19:I20),"NA")</f>
        <v>3.4246636495644478</v>
      </c>
      <c r="J21" s="113">
        <f t="shared" ref="J21:V21" si="2">IFERROR(AVERAGE(J19:J20),"NA")</f>
        <v>3.107443281059254</v>
      </c>
      <c r="K21" s="113" t="str">
        <f t="shared" si="2"/>
        <v>NA</v>
      </c>
      <c r="L21" s="113">
        <f t="shared" si="2"/>
        <v>28.175437504474196</v>
      </c>
      <c r="M21" s="113" t="str">
        <f t="shared" si="2"/>
        <v>NA</v>
      </c>
      <c r="N21" s="113" t="str">
        <f t="shared" si="2"/>
        <v>NA</v>
      </c>
      <c r="O21" s="113">
        <f t="shared" si="2"/>
        <v>20.052999084249084</v>
      </c>
      <c r="P21" s="113" t="str">
        <f t="shared" si="2"/>
        <v>NA</v>
      </c>
      <c r="Q21" s="113" t="str">
        <f t="shared" si="2"/>
        <v>NA</v>
      </c>
      <c r="R21" s="111">
        <f t="shared" si="2"/>
        <v>0.17861129983836926</v>
      </c>
      <c r="S21" s="113">
        <f t="shared" si="2"/>
        <v>1.5700695499240547</v>
      </c>
      <c r="T21" s="113">
        <f t="shared" si="2"/>
        <v>18.021438364701481</v>
      </c>
      <c r="U21" s="113">
        <f t="shared" si="2"/>
        <v>13.599899507064826</v>
      </c>
      <c r="V21" s="260" t="str">
        <f t="shared" si="2"/>
        <v>NA</v>
      </c>
    </row>
    <row r="22" spans="3:22" x14ac:dyDescent="0.25">
      <c r="C22" s="135" t="s">
        <v>208</v>
      </c>
      <c r="D22" s="246"/>
      <c r="E22" s="247"/>
      <c r="F22" s="248">
        <f>IFERROR(MEDIAN(F19:F20),"NA")</f>
        <v>0.47762231757560758</v>
      </c>
      <c r="G22" s="249"/>
      <c r="H22" s="249"/>
      <c r="I22" s="250">
        <f>IFERROR(MEDIAN(I19:I20),"NA")</f>
        <v>3.4246636495644478</v>
      </c>
      <c r="J22" s="250">
        <f t="shared" ref="J22:V22" si="3">IFERROR(MEDIAN(J19:J20),"NA")</f>
        <v>3.107443281059254</v>
      </c>
      <c r="K22" s="250" t="str">
        <f t="shared" si="3"/>
        <v>NA</v>
      </c>
      <c r="L22" s="250">
        <f t="shared" si="3"/>
        <v>28.175437504474196</v>
      </c>
      <c r="M22" s="250" t="str">
        <f t="shared" si="3"/>
        <v>NA</v>
      </c>
      <c r="N22" s="250" t="str">
        <f t="shared" si="3"/>
        <v>NA</v>
      </c>
      <c r="O22" s="250">
        <f t="shared" si="3"/>
        <v>20.052999084249084</v>
      </c>
      <c r="P22" s="250" t="str">
        <f t="shared" si="3"/>
        <v>NA</v>
      </c>
      <c r="Q22" s="250" t="str">
        <f t="shared" si="3"/>
        <v>NA</v>
      </c>
      <c r="R22" s="248">
        <f t="shared" si="3"/>
        <v>0.17861129983836926</v>
      </c>
      <c r="S22" s="250">
        <f t="shared" si="3"/>
        <v>1.5700695499240547</v>
      </c>
      <c r="T22" s="250">
        <f t="shared" si="3"/>
        <v>18.021438364701481</v>
      </c>
      <c r="U22" s="250">
        <f t="shared" si="3"/>
        <v>13.599899507064826</v>
      </c>
      <c r="V22" s="261" t="str">
        <f t="shared" si="3"/>
        <v>NA</v>
      </c>
    </row>
    <row r="23" spans="3:22" x14ac:dyDescent="0.25">
      <c r="C23" s="62"/>
      <c r="D23" s="236"/>
      <c r="E23" s="237"/>
      <c r="F23" s="238"/>
      <c r="G23" s="239"/>
      <c r="H23" s="239"/>
      <c r="I23" s="240"/>
      <c r="J23" s="240"/>
      <c r="K23" s="240"/>
      <c r="L23" s="240"/>
      <c r="M23" s="240"/>
      <c r="N23" s="240"/>
      <c r="O23" s="240"/>
      <c r="P23" s="240"/>
      <c r="Q23" s="240"/>
      <c r="R23" s="238"/>
      <c r="S23" s="240"/>
      <c r="T23" s="240"/>
      <c r="U23" s="240"/>
      <c r="V23" s="258"/>
    </row>
    <row r="24" spans="3:22" x14ac:dyDescent="0.25">
      <c r="C24" s="184" t="s">
        <v>206</v>
      </c>
      <c r="D24" s="241"/>
      <c r="E24" s="242"/>
      <c r="F24" s="243"/>
      <c r="G24" s="244"/>
      <c r="H24" s="244"/>
      <c r="I24" s="245"/>
      <c r="J24" s="245"/>
      <c r="K24" s="245"/>
      <c r="L24" s="245"/>
      <c r="M24" s="245"/>
      <c r="N24" s="245"/>
      <c r="O24" s="245"/>
      <c r="P24" s="245"/>
      <c r="Q24" s="245"/>
      <c r="R24" s="243"/>
      <c r="S24" s="245"/>
      <c r="T24" s="245"/>
      <c r="U24" s="245"/>
      <c r="V24" s="259"/>
    </row>
    <row r="25" spans="3:22" x14ac:dyDescent="0.25">
      <c r="C25" s="62" t="str">
        <f>'Input Page-DOCU'!G8</f>
        <v>DocuSign, Inc.</v>
      </c>
      <c r="D25" s="236" t="str">
        <f>'Input Page-DOCU'!G9</f>
        <v>DOCU</v>
      </c>
      <c r="E25" s="237">
        <f>'Input Page-DOCU'!G18</f>
        <v>47</v>
      </c>
      <c r="F25" s="238">
        <f>IFERROR('Input Page-DOCU'!G18/'Input Page-DOCU'!G19,"NA")</f>
        <v>0.54241200230813613</v>
      </c>
      <c r="G25" s="239">
        <f>'Input Page-DOCU'!G23</f>
        <v>9306</v>
      </c>
      <c r="H25" s="239">
        <f>'Input Page-DOCU'!G28</f>
        <v>8491.7999999999993</v>
      </c>
      <c r="I25" s="240">
        <f>'Input Page-DOCU'!D33</f>
        <v>2.6395822324453695</v>
      </c>
      <c r="J25" s="240">
        <f>'Input Page-DOCU'!E33</f>
        <v>2.4290045766590387</v>
      </c>
      <c r="K25" s="240" t="str">
        <f>'Input Page-DOCU'!F33</f>
        <v>NA</v>
      </c>
      <c r="L25" s="240">
        <f>'Input Page-DOCU'!D35</f>
        <v>18.168164313222096</v>
      </c>
      <c r="M25" s="240" t="str">
        <f>'Input Page-DOCU'!E35</f>
        <v>NA</v>
      </c>
      <c r="N25" s="240" t="str">
        <f>'Input Page-DOCU'!F35</f>
        <v>NA</v>
      </c>
      <c r="O25" s="240">
        <f>'Input Page-DOCU'!D37</f>
        <v>24.296995708154537</v>
      </c>
      <c r="P25" s="240" t="str">
        <f>'Input Page-DOCU'!E37</f>
        <v>NA</v>
      </c>
      <c r="Q25" s="240" t="str">
        <f>'Input Page-DOCU'!F37</f>
        <v>NA</v>
      </c>
      <c r="R25" s="238">
        <f>IFERROR('Input Page-DOCU'!O38/'Input Page-DOCU'!O11,"NM")</f>
        <v>0.14528612725746773</v>
      </c>
      <c r="S25" s="240">
        <f>IFERROR('Input Page-DOCU'!U21/'Input Page-DOCU'!O38,"NM")</f>
        <v>0</v>
      </c>
      <c r="T25" s="240">
        <f>'Input Page-DOCU'!D39</f>
        <v>29.319047619047659</v>
      </c>
      <c r="U25" s="240">
        <f>'Input Page-DOCU'!E39</f>
        <v>11.898734177215189</v>
      </c>
      <c r="V25" s="258" t="str">
        <f>'Input Page-DOCU'!F39</f>
        <v>NA</v>
      </c>
    </row>
    <row r="26" spans="3:22" x14ac:dyDescent="0.25">
      <c r="C26" s="62" t="str">
        <f>'Input Page-DBX'!G8</f>
        <v>Dropbox, Inc.</v>
      </c>
      <c r="D26" s="236" t="str">
        <f>'Input Page-DBX'!G9</f>
        <v>DBX</v>
      </c>
      <c r="E26" s="237">
        <f>'Input Page-DBX'!G18</f>
        <v>28.85</v>
      </c>
      <c r="F26" s="238">
        <f>IFERROR('Input Page-DBX'!G18/'Input Page-DBX'!G19,"NA")</f>
        <v>0.89043209876543217</v>
      </c>
      <c r="G26" s="239">
        <f>'Input Page-DBX'!G23</f>
        <v>6866.3</v>
      </c>
      <c r="H26" s="239">
        <f>'Input Page-DBX'!G28</f>
        <v>8952.4000000000015</v>
      </c>
      <c r="I26" s="240">
        <f>'Input Page-DBX'!D33</f>
        <v>3.5443819779871726</v>
      </c>
      <c r="J26" s="240">
        <f>'Input Page-DBX'!E33</f>
        <v>3.5738123752495015</v>
      </c>
      <c r="K26" s="240" t="str">
        <f>'Input Page-DBX'!F33</f>
        <v>NA</v>
      </c>
      <c r="L26" s="240">
        <f>'Input Page-DBX'!D35</f>
        <v>10.70221159593544</v>
      </c>
      <c r="M26" s="240" t="str">
        <f>'Input Page-DBX'!E35</f>
        <v>NA</v>
      </c>
      <c r="N26" s="240" t="str">
        <f>'Input Page-DBX'!F35</f>
        <v>NA</v>
      </c>
      <c r="O26" s="240">
        <f>'Input Page-DBX'!D37</f>
        <v>13.202182568942625</v>
      </c>
      <c r="P26" s="240" t="str">
        <f>'Input Page-DBX'!E37</f>
        <v>NA</v>
      </c>
      <c r="Q26" s="240" t="str">
        <f>'Input Page-DBX'!F37</f>
        <v>NA</v>
      </c>
      <c r="R26" s="238">
        <f>IFERROR('Input Page-DBX'!O38/'Input Page-DBX'!O11,"NM")</f>
        <v>0.33118219969910545</v>
      </c>
      <c r="S26" s="240">
        <f>IFERROR('Input Page-DBX'!U21/'Input Page-DBX'!O38,"NM")</f>
        <v>4.0345487148834405</v>
      </c>
      <c r="T26" s="240">
        <f>'Input Page-DBX'!D39</f>
        <v>14.559299619128206</v>
      </c>
      <c r="U26" s="240">
        <f>'Input Page-DBX'!E39</f>
        <v>9.6166666666666671</v>
      </c>
      <c r="V26" s="258" t="str">
        <f>'Input Page-DBX'!F39</f>
        <v>NA</v>
      </c>
    </row>
    <row r="27" spans="3:22" x14ac:dyDescent="0.25">
      <c r="C27" s="134" t="s">
        <v>207</v>
      </c>
      <c r="D27" s="110"/>
      <c r="E27" s="116"/>
      <c r="F27" s="111">
        <f>IFERROR(AVERAGE(F25:F26),"NA")</f>
        <v>0.71642205053678421</v>
      </c>
      <c r="G27" s="112"/>
      <c r="H27" s="112"/>
      <c r="I27" s="113">
        <f>IFERROR(AVERAGE(I25:I26),"NA")</f>
        <v>3.091982105216271</v>
      </c>
      <c r="J27" s="113">
        <f t="shared" ref="J27:V27" si="4">IFERROR(AVERAGE(J25:J26),"NA")</f>
        <v>3.0014084759542703</v>
      </c>
      <c r="K27" s="113" t="str">
        <f t="shared" si="4"/>
        <v>NA</v>
      </c>
      <c r="L27" s="113">
        <f t="shared" si="4"/>
        <v>14.435187954578769</v>
      </c>
      <c r="M27" s="113" t="str">
        <f t="shared" si="4"/>
        <v>NA</v>
      </c>
      <c r="N27" s="113" t="str">
        <f t="shared" si="4"/>
        <v>NA</v>
      </c>
      <c r="O27" s="113">
        <f t="shared" si="4"/>
        <v>18.749589138548579</v>
      </c>
      <c r="P27" s="113" t="str">
        <f t="shared" si="4"/>
        <v>NA</v>
      </c>
      <c r="Q27" s="113" t="str">
        <f t="shared" si="4"/>
        <v>NA</v>
      </c>
      <c r="R27" s="111">
        <f t="shared" si="4"/>
        <v>0.23823416347828658</v>
      </c>
      <c r="S27" s="113">
        <f t="shared" si="4"/>
        <v>2.0172743574417202</v>
      </c>
      <c r="T27" s="113">
        <f t="shared" si="4"/>
        <v>21.939173619087931</v>
      </c>
      <c r="U27" s="113">
        <f t="shared" si="4"/>
        <v>10.757700421940928</v>
      </c>
      <c r="V27" s="260" t="str">
        <f t="shared" si="4"/>
        <v>NA</v>
      </c>
    </row>
    <row r="28" spans="3:22" x14ac:dyDescent="0.25">
      <c r="C28" s="135" t="s">
        <v>208</v>
      </c>
      <c r="D28" s="246"/>
      <c r="E28" s="247"/>
      <c r="F28" s="248">
        <f>IFERROR(MEDIAN(F25:F26),"NA")</f>
        <v>0.71642205053678421</v>
      </c>
      <c r="G28" s="249"/>
      <c r="H28" s="249"/>
      <c r="I28" s="250">
        <f>IFERROR(MEDIAN(I25:I26),"NA")</f>
        <v>3.091982105216271</v>
      </c>
      <c r="J28" s="250">
        <f t="shared" ref="J28:V28" si="5">IFERROR(MEDIAN(J25:J26),"NA")</f>
        <v>3.0014084759542703</v>
      </c>
      <c r="K28" s="250" t="str">
        <f t="shared" si="5"/>
        <v>NA</v>
      </c>
      <c r="L28" s="250">
        <f t="shared" si="5"/>
        <v>14.435187954578769</v>
      </c>
      <c r="M28" s="250" t="str">
        <f t="shared" si="5"/>
        <v>NA</v>
      </c>
      <c r="N28" s="250" t="str">
        <f t="shared" si="5"/>
        <v>NA</v>
      </c>
      <c r="O28" s="250">
        <f t="shared" si="5"/>
        <v>18.749589138548579</v>
      </c>
      <c r="P28" s="250" t="str">
        <f t="shared" si="5"/>
        <v>NA</v>
      </c>
      <c r="Q28" s="250" t="str">
        <f t="shared" si="5"/>
        <v>NA</v>
      </c>
      <c r="R28" s="248">
        <f t="shared" si="5"/>
        <v>0.23823416347828658</v>
      </c>
      <c r="S28" s="250">
        <f t="shared" si="5"/>
        <v>2.0172743574417202</v>
      </c>
      <c r="T28" s="250">
        <f t="shared" si="5"/>
        <v>21.939173619087931</v>
      </c>
      <c r="U28" s="250">
        <f t="shared" si="5"/>
        <v>10.757700421940928</v>
      </c>
      <c r="V28" s="261" t="str">
        <f t="shared" si="5"/>
        <v>NA</v>
      </c>
    </row>
    <row r="29" spans="3:22" x14ac:dyDescent="0.25">
      <c r="C29" s="62"/>
      <c r="D29" s="236"/>
      <c r="E29" s="237"/>
      <c r="F29" s="238"/>
      <c r="G29" s="239"/>
      <c r="H29" s="239"/>
      <c r="I29" s="240"/>
      <c r="J29" s="240"/>
      <c r="K29" s="240"/>
      <c r="L29" s="240"/>
      <c r="M29" s="240"/>
      <c r="N29" s="240"/>
      <c r="O29" s="240"/>
      <c r="P29" s="240"/>
      <c r="Q29" s="240"/>
      <c r="R29" s="238"/>
      <c r="S29" s="240"/>
      <c r="T29" s="240"/>
      <c r="U29" s="240"/>
      <c r="V29" s="258"/>
    </row>
    <row r="30" spans="3:22" x14ac:dyDescent="0.25">
      <c r="C30" s="63" t="s">
        <v>209</v>
      </c>
      <c r="D30" s="236"/>
      <c r="E30" s="237"/>
      <c r="F30" s="238"/>
      <c r="G30" s="239"/>
      <c r="H30" s="239"/>
      <c r="I30" s="240"/>
      <c r="J30" s="240"/>
      <c r="K30" s="240"/>
      <c r="L30" s="240"/>
      <c r="M30" s="240"/>
      <c r="N30" s="240"/>
      <c r="O30" s="240"/>
      <c r="P30" s="240"/>
      <c r="Q30" s="240"/>
      <c r="R30" s="238"/>
      <c r="S30" s="240"/>
      <c r="T30" s="240"/>
      <c r="U30" s="240"/>
      <c r="V30" s="258"/>
    </row>
    <row r="31" spans="3:22" x14ac:dyDescent="0.25">
      <c r="C31" s="134" t="s">
        <v>207</v>
      </c>
      <c r="D31" s="110"/>
      <c r="E31" s="116"/>
      <c r="F31" s="111">
        <f>IFERROR(AVERAGE(F13:F14,F19:F20,F25:F26),"NA")</f>
        <v>0.53097697963698887</v>
      </c>
      <c r="G31" s="112"/>
      <c r="H31" s="112"/>
      <c r="I31" s="113">
        <f>IFERROR(AVERAGE(I13:I14,I19:I20,I25:I26),"NA")</f>
        <v>4.4405067086128636</v>
      </c>
      <c r="J31" s="113">
        <f t="shared" ref="J31:V31" si="6">IFERROR(AVERAGE(J13:J14,J19:J20,J25:J26),"NA")</f>
        <v>3.9860250729482147</v>
      </c>
      <c r="K31" s="113" t="str">
        <f t="shared" si="6"/>
        <v>NA</v>
      </c>
      <c r="L31" s="113">
        <f t="shared" si="6"/>
        <v>21.335325039667246</v>
      </c>
      <c r="M31" s="113" t="str">
        <f t="shared" si="6"/>
        <v>NA</v>
      </c>
      <c r="N31" s="113" t="str">
        <f t="shared" si="6"/>
        <v>NA</v>
      </c>
      <c r="O31" s="113">
        <f t="shared" si="6"/>
        <v>20.315006164302631</v>
      </c>
      <c r="P31" s="113" t="str">
        <f t="shared" si="6"/>
        <v>NA</v>
      </c>
      <c r="Q31" s="113" t="str">
        <f t="shared" si="6"/>
        <v>NA</v>
      </c>
      <c r="R31" s="111">
        <f t="shared" si="6"/>
        <v>0.11750180164548711</v>
      </c>
      <c r="S31" s="113">
        <f t="shared" si="6"/>
        <v>1.3943577579894875</v>
      </c>
      <c r="T31" s="113">
        <f t="shared" si="6"/>
        <v>23.300647015893638</v>
      </c>
      <c r="U31" s="113">
        <f t="shared" si="6"/>
        <v>13.167039971602303</v>
      </c>
      <c r="V31" s="260" t="str">
        <f t="shared" si="6"/>
        <v>NA</v>
      </c>
    </row>
    <row r="32" spans="3:22" x14ac:dyDescent="0.25">
      <c r="C32" s="135" t="s">
        <v>208</v>
      </c>
      <c r="D32" s="246"/>
      <c r="E32" s="247"/>
      <c r="F32" s="248">
        <f>IFERROR(MEDIAN(F13:F14,F19:F20,F25:F26),"NA")</f>
        <v>0.57106149248354776</v>
      </c>
      <c r="G32" s="249"/>
      <c r="H32" s="249"/>
      <c r="I32" s="250">
        <f>IFERROR(MEDIAN(I13:I14,I19:I20,I25:I26),"NA")</f>
        <v>3.8173356339771254</v>
      </c>
      <c r="J32" s="250">
        <f t="shared" ref="J32:V32" si="7">IFERROR(MEDIAN(J13:J14,J19:J20,J25:J26),"NA")</f>
        <v>3.6910692311030115</v>
      </c>
      <c r="K32" s="250" t="str">
        <f t="shared" si="7"/>
        <v>NA</v>
      </c>
      <c r="L32" s="250">
        <f t="shared" si="7"/>
        <v>18.168164313222096</v>
      </c>
      <c r="M32" s="250" t="str">
        <f t="shared" si="7"/>
        <v>NA</v>
      </c>
      <c r="N32" s="250" t="str">
        <f t="shared" si="7"/>
        <v>NA</v>
      </c>
      <c r="O32" s="250">
        <f t="shared" si="7"/>
        <v>21.880423190056675</v>
      </c>
      <c r="P32" s="250" t="str">
        <f t="shared" si="7"/>
        <v>NA</v>
      </c>
      <c r="Q32" s="250" t="str">
        <f t="shared" si="7"/>
        <v>NA</v>
      </c>
      <c r="R32" s="248">
        <f t="shared" si="7"/>
        <v>0.21144684676447384</v>
      </c>
      <c r="S32" s="250">
        <f t="shared" si="7"/>
        <v>0.59572936660268716</v>
      </c>
      <c r="T32" s="250">
        <f t="shared" si="7"/>
        <v>23.67024299187457</v>
      </c>
      <c r="U32" s="250">
        <f t="shared" si="7"/>
        <v>11.898734177215189</v>
      </c>
      <c r="V32" s="261" t="str">
        <f t="shared" si="7"/>
        <v>NA</v>
      </c>
    </row>
    <row r="33" spans="2:22" x14ac:dyDescent="0.25">
      <c r="C33" s="62"/>
      <c r="D33" s="236"/>
      <c r="E33" s="237"/>
      <c r="F33" s="238"/>
      <c r="G33" s="239"/>
      <c r="H33" s="239"/>
      <c r="I33" s="240"/>
      <c r="J33" s="240"/>
      <c r="K33" s="240"/>
      <c r="L33" s="240"/>
      <c r="M33" s="240"/>
      <c r="N33" s="240"/>
      <c r="O33" s="240"/>
      <c r="P33" s="240"/>
      <c r="Q33" s="240"/>
      <c r="R33" s="238"/>
      <c r="S33" s="240"/>
      <c r="T33" s="240"/>
      <c r="U33" s="240"/>
      <c r="V33" s="258"/>
    </row>
    <row r="34" spans="2:22" x14ac:dyDescent="0.25">
      <c r="B34" s="142"/>
      <c r="C34" s="134" t="s">
        <v>210</v>
      </c>
      <c r="D34" s="110"/>
      <c r="E34" s="116"/>
      <c r="F34" s="111">
        <f>IF(COUNT(F13:F14,F19:F20,F25:F26)=0,"NA",MAX(F13:F14,F19:F20,F25:F26))</f>
        <v>0.89043209876543217</v>
      </c>
      <c r="G34" s="112"/>
      <c r="H34" s="112"/>
      <c r="I34" s="113">
        <f>IF(COUNT(I13:I14,I19:I20,I25:I26)=0,"NA",MAX(I13:I14,I19:I20,I25:I26))</f>
        <v>7.6535745047372963</v>
      </c>
      <c r="J34" s="113">
        <f t="shared" ref="J34:V34" si="8">IF(COUNT(J13:J14,J19:J20,J25:J26)=0,"NA",MAX(J13:J14,J19:J20,J25:J26))</f>
        <v>6.2356491228070174</v>
      </c>
      <c r="K34" s="113" t="str">
        <f t="shared" si="8"/>
        <v>NA</v>
      </c>
      <c r="L34" s="113">
        <f t="shared" si="8"/>
        <v>42.34631828978619</v>
      </c>
      <c r="M34" s="113" t="str">
        <f t="shared" si="8"/>
        <v>NA</v>
      </c>
      <c r="N34" s="113" t="str">
        <f t="shared" si="8"/>
        <v>NA</v>
      </c>
      <c r="O34" s="113">
        <f t="shared" si="8"/>
        <v>24.296995708154537</v>
      </c>
      <c r="P34" s="113" t="str">
        <f t="shared" si="8"/>
        <v>NA</v>
      </c>
      <c r="Q34" s="113" t="str">
        <f t="shared" si="8"/>
        <v>NA</v>
      </c>
      <c r="R34" s="111">
        <f t="shared" si="8"/>
        <v>0.33118219969910545</v>
      </c>
      <c r="S34" s="113">
        <f t="shared" si="8"/>
        <v>4.0345487148834405</v>
      </c>
      <c r="T34" s="113">
        <f t="shared" si="8"/>
        <v>31.302802460697201</v>
      </c>
      <c r="U34" s="113">
        <f t="shared" si="8"/>
        <v>17.12</v>
      </c>
      <c r="V34" s="260" t="str">
        <f t="shared" si="8"/>
        <v>NA</v>
      </c>
    </row>
    <row r="35" spans="2:22" x14ac:dyDescent="0.25">
      <c r="B35" s="142"/>
      <c r="C35" s="136" t="s">
        <v>211</v>
      </c>
      <c r="D35" s="127"/>
      <c r="E35" s="128"/>
      <c r="F35" s="129">
        <f>IF(COUNT(F13:F14,F19:F20,F25:F26)=0,"NA",MIN(F13:F14,F19:F20,F25:F26))</f>
        <v>0.14749510215505177</v>
      </c>
      <c r="G35" s="130"/>
      <c r="H35" s="130"/>
      <c r="I35" s="131">
        <f>IF(COUNT(I13:I14,I19:I20,I25:I26)=0,"NA",MIN(I13:I14,I19:I20,I25:I26))</f>
        <v>2.6395822324453695</v>
      </c>
      <c r="J35" s="131">
        <f t="shared" ref="J35:V35" si="9">IF(COUNT(J13:J14,J19:J20,J25:J26)=0,"NA",MIN(J13:J14,J19:J20,J25:J26))</f>
        <v>2.4065604751619869</v>
      </c>
      <c r="K35" s="131" t="str">
        <f t="shared" si="9"/>
        <v>NA</v>
      </c>
      <c r="L35" s="131">
        <f t="shared" si="9"/>
        <v>10.70221159593544</v>
      </c>
      <c r="M35" s="131" t="str">
        <f t="shared" si="9"/>
        <v>NA</v>
      </c>
      <c r="N35" s="131" t="str">
        <f t="shared" si="9"/>
        <v>NA</v>
      </c>
      <c r="O35" s="131">
        <f t="shared" si="9"/>
        <v>13.202182568942625</v>
      </c>
      <c r="P35" s="131" t="str">
        <f t="shared" si="9"/>
        <v>NA</v>
      </c>
      <c r="Q35" s="131" t="str">
        <f t="shared" si="9"/>
        <v>NA</v>
      </c>
      <c r="R35" s="129">
        <f t="shared" si="9"/>
        <v>-0.40628768303186907</v>
      </c>
      <c r="S35" s="131">
        <f t="shared" si="9"/>
        <v>0</v>
      </c>
      <c r="T35" s="131">
        <f t="shared" si="9"/>
        <v>14.559299619128206</v>
      </c>
      <c r="U35" s="131">
        <f t="shared" si="9"/>
        <v>9.6166666666666671</v>
      </c>
      <c r="V35" s="262" t="str">
        <f t="shared" si="9"/>
        <v>NA</v>
      </c>
    </row>
    <row r="39" spans="2:22" ht="34.049999999999997" customHeight="1" x14ac:dyDescent="0.25">
      <c r="C39" s="192" t="s">
        <v>148</v>
      </c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</row>
    <row r="40" spans="2:22" ht="19.95" customHeight="1" x14ac:dyDescent="0.25">
      <c r="C40" s="193" t="s">
        <v>240</v>
      </c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</row>
    <row r="41" spans="2:22" ht="16.05" customHeight="1" x14ac:dyDescent="0.25">
      <c r="C41" s="194" t="s">
        <v>1</v>
      </c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</row>
    <row r="43" spans="2:22" ht="13.8" customHeight="1" x14ac:dyDescent="0.25">
      <c r="C43" s="196" t="s">
        <v>193</v>
      </c>
      <c r="D43" s="180" t="s">
        <v>4</v>
      </c>
      <c r="E43" s="180" t="s">
        <v>233</v>
      </c>
      <c r="F43" s="180" t="s">
        <v>234</v>
      </c>
      <c r="G43" s="180" t="s">
        <v>19</v>
      </c>
      <c r="H43" s="180" t="s">
        <v>24</v>
      </c>
      <c r="I43" s="180" t="s">
        <v>32</v>
      </c>
      <c r="J43" s="180"/>
      <c r="K43" s="180"/>
      <c r="L43" s="180" t="s">
        <v>241</v>
      </c>
      <c r="M43" s="180" t="s">
        <v>242</v>
      </c>
      <c r="N43" s="180" t="s">
        <v>243</v>
      </c>
      <c r="O43" s="180" t="s">
        <v>245</v>
      </c>
      <c r="P43" s="180"/>
      <c r="Q43" s="180"/>
      <c r="R43" s="180" t="s">
        <v>237</v>
      </c>
      <c r="S43" s="180" t="s">
        <v>244</v>
      </c>
      <c r="T43" s="180" t="s">
        <v>35</v>
      </c>
      <c r="U43" s="180"/>
      <c r="V43" s="181"/>
    </row>
    <row r="44" spans="2:22" ht="14.4" customHeight="1" x14ac:dyDescent="0.25">
      <c r="C44" s="197"/>
      <c r="D44" s="195"/>
      <c r="E44" s="195"/>
      <c r="F44" s="195"/>
      <c r="G44" s="195"/>
      <c r="H44" s="195"/>
      <c r="I44" s="182"/>
      <c r="J44" s="182"/>
      <c r="K44" s="182"/>
      <c r="L44" s="195"/>
      <c r="M44" s="195"/>
      <c r="N44" s="195"/>
      <c r="O44" s="182"/>
      <c r="P44" s="182"/>
      <c r="Q44" s="182"/>
      <c r="R44" s="195"/>
      <c r="S44" s="195"/>
      <c r="T44" s="182"/>
      <c r="U44" s="182"/>
      <c r="V44" s="183"/>
    </row>
    <row r="45" spans="2:22" ht="15" customHeight="1" x14ac:dyDescent="0.25">
      <c r="C45" s="197"/>
      <c r="D45" s="195"/>
      <c r="E45" s="195"/>
      <c r="F45" s="195"/>
      <c r="G45" s="195"/>
      <c r="H45" s="195"/>
      <c r="I45" s="51" t="s">
        <v>26</v>
      </c>
      <c r="J45" s="51" t="s">
        <v>27</v>
      </c>
      <c r="K45" s="51" t="s">
        <v>28</v>
      </c>
      <c r="L45" s="195"/>
      <c r="M45" s="195"/>
      <c r="N45" s="195"/>
      <c r="O45" s="51" t="s">
        <v>26</v>
      </c>
      <c r="P45" s="51" t="s">
        <v>27</v>
      </c>
      <c r="Q45" s="51" t="s">
        <v>28</v>
      </c>
      <c r="R45" s="195"/>
      <c r="S45" s="195"/>
      <c r="T45" s="51" t="s">
        <v>26</v>
      </c>
      <c r="U45" s="51" t="s">
        <v>27</v>
      </c>
      <c r="V45" s="118" t="s">
        <v>28</v>
      </c>
    </row>
    <row r="46" spans="2:22" x14ac:dyDescent="0.25">
      <c r="C46" s="133" t="str">
        <f>'Input Page-ADBE'!G8</f>
        <v>Adobe Inc.</v>
      </c>
      <c r="D46" s="119" t="str">
        <f>'Input Page-ADBE'!G9</f>
        <v>ADBE</v>
      </c>
      <c r="E46" s="120">
        <f>'Input Page-ADBE'!G18</f>
        <v>218</v>
      </c>
      <c r="F46" s="121">
        <f>'Input Page-ADBE'!G18/'Input Page-ADBE'!G19</f>
        <v>0.56389032591826171</v>
      </c>
      <c r="G46" s="122">
        <f>'Input Page-ADBE'!G23</f>
        <v>86982</v>
      </c>
      <c r="H46" s="122">
        <f>'Input Page-ADBE'!G28</f>
        <v>88001</v>
      </c>
      <c r="I46" s="123">
        <f>'Input Page-ADBE'!D35</f>
        <v>8.9350187836328558</v>
      </c>
      <c r="J46" s="123" t="str">
        <f>'Input Page-ADBE'!E35</f>
        <v>NA</v>
      </c>
      <c r="K46" s="123" t="str">
        <f>'Input Page-ADBE'!F35</f>
        <v>NA</v>
      </c>
      <c r="L46" s="121" t="s">
        <v>9</v>
      </c>
      <c r="M46" s="123">
        <f>IFERROR('Input Page-ADBE'!U21/'Input Page-ADBE'!O38,"NM")</f>
        <v>0.67468778556198594</v>
      </c>
      <c r="N46" s="123">
        <f>IFERROR('Input Page-ADBE'!O38/'Input Page-ADBE'!O16,"NM")</f>
        <v>37.735632183908045</v>
      </c>
      <c r="O46" s="123">
        <f>'Input Page-ADBE'!D39</f>
        <v>12.273620141098354</v>
      </c>
      <c r="P46" s="123">
        <f>'Input Page-ADBE'!E39</f>
        <v>8.927108927108927</v>
      </c>
      <c r="Q46" s="123">
        <f>'Input Page-ADBE'!F39</f>
        <v>7.9186342172175808</v>
      </c>
      <c r="R46" s="121" t="str">
        <f>'Input Page-ADBE'!G59</f>
        <v>NA</v>
      </c>
      <c r="S46" s="124">
        <f>IFERROR('Input Page-ADBE'!G49/'Input Page-ADBE'!G18,0)</f>
        <v>0</v>
      </c>
      <c r="T46" s="124">
        <f>'Input Page-ADBE'!D41</f>
        <v>0.11818537168609597</v>
      </c>
      <c r="U46" s="124">
        <f>'Input Page-ADBE'!E41</f>
        <v>0.11922006851992366</v>
      </c>
      <c r="V46" s="137" t="str">
        <f>'Input Page-ADBE'!F41</f>
        <v>NA</v>
      </c>
    </row>
    <row r="47" spans="2:22" x14ac:dyDescent="0.25">
      <c r="C47" s="62"/>
      <c r="D47" s="52"/>
      <c r="E47" s="115"/>
      <c r="F47" s="54"/>
      <c r="G47" s="53"/>
      <c r="H47" s="53"/>
      <c r="I47" s="84"/>
      <c r="J47" s="84"/>
      <c r="K47" s="84"/>
      <c r="L47" s="54"/>
      <c r="M47" s="84"/>
      <c r="N47" s="84"/>
      <c r="O47" s="84"/>
      <c r="P47" s="84"/>
      <c r="Q47" s="84"/>
      <c r="R47" s="54"/>
      <c r="S47" s="125"/>
      <c r="T47" s="125"/>
      <c r="U47" s="125"/>
      <c r="V47" s="138"/>
    </row>
    <row r="48" spans="2:22" x14ac:dyDescent="0.25">
      <c r="C48" s="184" t="s">
        <v>204</v>
      </c>
      <c r="D48" s="185"/>
      <c r="E48" s="186"/>
      <c r="F48" s="187"/>
      <c r="G48" s="188"/>
      <c r="H48" s="188"/>
      <c r="I48" s="189"/>
      <c r="J48" s="189"/>
      <c r="K48" s="189"/>
      <c r="L48" s="187"/>
      <c r="M48" s="189"/>
      <c r="N48" s="189"/>
      <c r="O48" s="189"/>
      <c r="P48" s="189"/>
      <c r="Q48" s="189"/>
      <c r="R48" s="187"/>
      <c r="S48" s="190"/>
      <c r="T48" s="190"/>
      <c r="U48" s="190"/>
      <c r="V48" s="191"/>
    </row>
    <row r="49" spans="3:22" x14ac:dyDescent="0.25">
      <c r="C49" s="62" t="str">
        <f>'Input Page-ADSK'!G8</f>
        <v>Autodesk, Inc.</v>
      </c>
      <c r="D49" s="52" t="str">
        <f>'Input Page-ADSK'!G9</f>
        <v>ADSK</v>
      </c>
      <c r="E49" s="115">
        <f>'Input Page-ADSK'!G18</f>
        <v>214</v>
      </c>
      <c r="F49" s="54">
        <f>'Input Page-ADSK'!G18/'Input Page-ADSK'!G19</f>
        <v>0.65027803944209794</v>
      </c>
      <c r="G49" s="53">
        <f>'Input Page-ADSK'!G23</f>
        <v>45154</v>
      </c>
      <c r="H49" s="53">
        <f>'Input Page-ADSK'!G28</f>
        <v>44713</v>
      </c>
      <c r="I49" s="84">
        <f>'Input Page-ADSK'!D35</f>
        <v>21.455374280230327</v>
      </c>
      <c r="J49" s="84" t="str">
        <f>'Input Page-ADSK'!E35</f>
        <v>NA</v>
      </c>
      <c r="K49" s="84" t="str">
        <f>'Input Page-ADSK'!F35</f>
        <v>NA</v>
      </c>
      <c r="L49" s="54" t="s">
        <v>9</v>
      </c>
      <c r="M49" s="84">
        <f>IFERROR('Input Page-ADSK'!U21/'Input Page-ADSK'!O38,"NM")</f>
        <v>1.1914587332053743</v>
      </c>
      <c r="N49" s="84" t="str">
        <f>IFERROR('Input Page-ADSK'!O38/'Input Page-ADSK'!O16,"NM")</f>
        <v>NM</v>
      </c>
      <c r="O49" s="84">
        <f>'Input Page-ADSK'!D39</f>
        <v>31.302802460697201</v>
      </c>
      <c r="P49" s="84">
        <f>'Input Page-ADSK'!E39</f>
        <v>17.12</v>
      </c>
      <c r="Q49" s="84" t="str">
        <f>'Input Page-ADSK'!F39</f>
        <v>NA</v>
      </c>
      <c r="R49" s="54" t="str">
        <f>'Input Page-ADSK'!G59</f>
        <v>NA</v>
      </c>
      <c r="S49" s="125">
        <f>IFERROR('Input Page-ADSK'!G49/'Input Page-ADSK'!G18,0)</f>
        <v>0</v>
      </c>
      <c r="T49" s="125">
        <f>'Input Page-ADSK'!D41</f>
        <v>6.0437613500465073E-2</v>
      </c>
      <c r="U49" s="125" t="str">
        <f>'Input Page-ADSK'!E41</f>
        <v>NA</v>
      </c>
      <c r="V49" s="138" t="str">
        <f>'Input Page-ADSK'!F41</f>
        <v>NA</v>
      </c>
    </row>
    <row r="50" spans="3:22" x14ac:dyDescent="0.25">
      <c r="C50" s="62" t="str">
        <f>'Input Page-FIG'!G8</f>
        <v>Figma, Inc.</v>
      </c>
      <c r="D50" s="52" t="str">
        <f>'Input Page-FIG'!G9</f>
        <v>FIG</v>
      </c>
      <c r="E50" s="115">
        <f>'Input Page-FIG'!G18</f>
        <v>21.08</v>
      </c>
      <c r="F50" s="54">
        <f>'Input Page-FIG'!G18/'Input Page-FIG'!G19</f>
        <v>0.14749510215505177</v>
      </c>
      <c r="G50" s="53">
        <f>'Input Page-FIG'!G23</f>
        <v>10540</v>
      </c>
      <c r="H50" s="53">
        <f>'Input Page-FIG'!G28</f>
        <v>8885.7999999999993</v>
      </c>
      <c r="I50" s="84" t="str">
        <f>'Input Page-FIG'!D35</f>
        <v>NM</v>
      </c>
      <c r="J50" s="84" t="str">
        <f>'Input Page-FIG'!E35</f>
        <v>NA</v>
      </c>
      <c r="K50" s="84" t="str">
        <f>'Input Page-FIG'!F35</f>
        <v>NA</v>
      </c>
      <c r="L50" s="54" t="s">
        <v>9</v>
      </c>
      <c r="M50" s="84">
        <f>IFERROR('Input Page-FIG'!U21/'Input Page-FIG'!O38,"NM")</f>
        <v>0</v>
      </c>
      <c r="N50" s="84" t="str">
        <f>IFERROR('Input Page-FIG'!O38/'Input Page-FIG'!O16,"NM")</f>
        <v>NM</v>
      </c>
      <c r="O50" s="84" t="str">
        <f>'Input Page-FIG'!D39</f>
        <v>NM</v>
      </c>
      <c r="P50" s="84" t="str">
        <f>'Input Page-FIG'!E39</f>
        <v>NM</v>
      </c>
      <c r="Q50" s="84" t="str">
        <f>'Input Page-FIG'!F39</f>
        <v>NA</v>
      </c>
      <c r="R50" s="54" t="str">
        <f>'Input Page-FIG'!G59</f>
        <v>NA</v>
      </c>
      <c r="S50" s="125">
        <f>IFERROR('Input Page-FIG'!G49/'Input Page-FIG'!G18,0)</f>
        <v>0</v>
      </c>
      <c r="T50" s="125">
        <f>'Input Page-FIG'!D41</f>
        <v>2.2722960151802658E-2</v>
      </c>
      <c r="U50" s="125" t="str">
        <f>'Input Page-FIG'!E41</f>
        <v>NA</v>
      </c>
      <c r="V50" s="138" t="str">
        <f>'Input Page-FIG'!F41</f>
        <v>NA</v>
      </c>
    </row>
    <row r="51" spans="3:22" x14ac:dyDescent="0.25">
      <c r="C51" s="134" t="s">
        <v>207</v>
      </c>
      <c r="D51" s="110"/>
      <c r="E51" s="116"/>
      <c r="F51" s="111">
        <f>IFERROR(AVERAGE(F49:F50),"NA")</f>
        <v>0.39888657079857487</v>
      </c>
      <c r="G51" s="112"/>
      <c r="H51" s="112"/>
      <c r="I51" s="113">
        <f>IFERROR(AVERAGE(I49:I50),"NA")</f>
        <v>21.455374280230327</v>
      </c>
      <c r="J51" s="113" t="str">
        <f t="shared" ref="J51:V51" si="10">IFERROR(AVERAGE(J49:J50),"NA")</f>
        <v>NA</v>
      </c>
      <c r="K51" s="113" t="str">
        <f t="shared" si="10"/>
        <v>NA</v>
      </c>
      <c r="L51" s="111" t="str">
        <f t="shared" si="10"/>
        <v>NA</v>
      </c>
      <c r="M51" s="113">
        <f t="shared" si="10"/>
        <v>0.59572936660268716</v>
      </c>
      <c r="N51" s="113" t="str">
        <f t="shared" si="10"/>
        <v>NA</v>
      </c>
      <c r="O51" s="113">
        <f t="shared" si="10"/>
        <v>31.302802460697201</v>
      </c>
      <c r="P51" s="113">
        <f t="shared" si="10"/>
        <v>17.12</v>
      </c>
      <c r="Q51" s="113" t="str">
        <f t="shared" si="10"/>
        <v>NA</v>
      </c>
      <c r="R51" s="111" t="str">
        <f t="shared" si="10"/>
        <v>NA</v>
      </c>
      <c r="S51" s="114">
        <f t="shared" si="10"/>
        <v>0</v>
      </c>
      <c r="T51" s="114">
        <f t="shared" si="10"/>
        <v>4.1580286826133864E-2</v>
      </c>
      <c r="U51" s="114" t="str">
        <f t="shared" si="10"/>
        <v>NA</v>
      </c>
      <c r="V51" s="139" t="str">
        <f t="shared" si="10"/>
        <v>NA</v>
      </c>
    </row>
    <row r="52" spans="3:22" x14ac:dyDescent="0.25">
      <c r="C52" s="135" t="s">
        <v>208</v>
      </c>
      <c r="D52" s="105"/>
      <c r="E52" s="117"/>
      <c r="F52" s="106">
        <f>IFERROR(MEDIAN(F49:F50),"NA")</f>
        <v>0.39888657079857481</v>
      </c>
      <c r="G52" s="107"/>
      <c r="H52" s="107"/>
      <c r="I52" s="108">
        <f>IFERROR(MEDIAN(I49:I50),"NA")</f>
        <v>21.455374280230327</v>
      </c>
      <c r="J52" s="108" t="str">
        <f t="shared" ref="J52:V52" si="11">IFERROR(MEDIAN(J49:J50),"NA")</f>
        <v>NA</v>
      </c>
      <c r="K52" s="108" t="str">
        <f t="shared" si="11"/>
        <v>NA</v>
      </c>
      <c r="L52" s="106" t="str">
        <f t="shared" si="11"/>
        <v>NA</v>
      </c>
      <c r="M52" s="108">
        <f t="shared" si="11"/>
        <v>0.59572936660268716</v>
      </c>
      <c r="N52" s="108" t="str">
        <f t="shared" si="11"/>
        <v>NA</v>
      </c>
      <c r="O52" s="108">
        <f t="shared" si="11"/>
        <v>31.302802460697201</v>
      </c>
      <c r="P52" s="108">
        <f t="shared" si="11"/>
        <v>17.12</v>
      </c>
      <c r="Q52" s="108" t="str">
        <f t="shared" si="11"/>
        <v>NA</v>
      </c>
      <c r="R52" s="106" t="str">
        <f t="shared" si="11"/>
        <v>NA</v>
      </c>
      <c r="S52" s="126">
        <f t="shared" si="11"/>
        <v>0</v>
      </c>
      <c r="T52" s="126">
        <f t="shared" si="11"/>
        <v>4.1580286826133864E-2</v>
      </c>
      <c r="U52" s="126" t="str">
        <f t="shared" si="11"/>
        <v>NA</v>
      </c>
      <c r="V52" s="140" t="str">
        <f t="shared" si="11"/>
        <v>NA</v>
      </c>
    </row>
    <row r="53" spans="3:22" x14ac:dyDescent="0.25">
      <c r="C53" s="62"/>
      <c r="D53" s="52"/>
      <c r="E53" s="115"/>
      <c r="F53" s="54"/>
      <c r="G53" s="53"/>
      <c r="H53" s="53"/>
      <c r="I53" s="84"/>
      <c r="J53" s="84"/>
      <c r="K53" s="84"/>
      <c r="L53" s="54"/>
      <c r="M53" s="84"/>
      <c r="N53" s="84"/>
      <c r="O53" s="84"/>
      <c r="P53" s="84"/>
      <c r="Q53" s="84"/>
      <c r="R53" s="54"/>
      <c r="S53" s="125"/>
      <c r="T53" s="125"/>
      <c r="U53" s="125"/>
      <c r="V53" s="138"/>
    </row>
    <row r="54" spans="3:22" x14ac:dyDescent="0.25">
      <c r="C54" s="184" t="s">
        <v>205</v>
      </c>
      <c r="D54" s="185"/>
      <c r="E54" s="186"/>
      <c r="F54" s="187"/>
      <c r="G54" s="188"/>
      <c r="H54" s="188"/>
      <c r="I54" s="189"/>
      <c r="J54" s="189"/>
      <c r="K54" s="189"/>
      <c r="L54" s="187"/>
      <c r="M54" s="189"/>
      <c r="N54" s="189"/>
      <c r="O54" s="189"/>
      <c r="P54" s="189"/>
      <c r="Q54" s="189"/>
      <c r="R54" s="187"/>
      <c r="S54" s="190"/>
      <c r="T54" s="190"/>
      <c r="U54" s="190"/>
      <c r="V54" s="191"/>
    </row>
    <row r="55" spans="3:22" x14ac:dyDescent="0.25">
      <c r="C55" s="62" t="str">
        <f>'Input Page-CRM'!G8</f>
        <v>Salesforce, Inc.</v>
      </c>
      <c r="D55" s="52" t="str">
        <f>'Input Page-CRM'!G9</f>
        <v>CRM</v>
      </c>
      <c r="E55" s="115">
        <f>'Input Page-CRM'!G18</f>
        <v>166</v>
      </c>
      <c r="F55" s="54">
        <f>'Input Page-CRM'!G18/'Input Page-CRM'!G19</f>
        <v>0.5997109826589595</v>
      </c>
      <c r="G55" s="53">
        <f>'Input Page-CRM'!G23</f>
        <v>147740</v>
      </c>
      <c r="H55" s="53">
        <f>'Input Page-CRM'!G28</f>
        <v>175183</v>
      </c>
      <c r="I55" s="84">
        <f>'Input Page-CRM'!D35</f>
        <v>14.004556719162203</v>
      </c>
      <c r="J55" s="84" t="str">
        <f>'Input Page-CRM'!E35</f>
        <v>NA</v>
      </c>
      <c r="K55" s="84" t="str">
        <f>'Input Page-CRM'!F35</f>
        <v>NA</v>
      </c>
      <c r="L55" s="54" t="s">
        <v>9</v>
      </c>
      <c r="M55" s="84">
        <f>IFERROR('Input Page-CRM'!U21/'Input Page-CRM'!O38,"NM")</f>
        <v>3.1401390998481093</v>
      </c>
      <c r="N55" s="84" t="str">
        <f>IFERROR('Input Page-CRM'!O38/'Input Page-CRM'!O16,"NM")</f>
        <v>NM</v>
      </c>
      <c r="O55" s="84">
        <f>'Input Page-CRM'!D39</f>
        <v>18.021438364701481</v>
      </c>
      <c r="P55" s="84">
        <f>'Input Page-CRM'!E39</f>
        <v>11.756373937677054</v>
      </c>
      <c r="Q55" s="84" t="str">
        <f>'Input Page-CRM'!F39</f>
        <v>NA</v>
      </c>
      <c r="R55" s="54" t="str">
        <f>'Input Page-CRM'!G59</f>
        <v>NA</v>
      </c>
      <c r="S55" s="125">
        <f>IFERROR('Input Page-CRM'!G49/'Input Page-CRM'!G18,0)</f>
        <v>1.0602409638554217E-2</v>
      </c>
      <c r="T55" s="125">
        <f>'Input Page-CRM'!D41</f>
        <v>9.9235142818464878E-2</v>
      </c>
      <c r="U55" s="125" t="str">
        <f>'Input Page-CRM'!E41</f>
        <v>NA</v>
      </c>
      <c r="V55" s="138" t="str">
        <f>'Input Page-CRM'!F41</f>
        <v>NA</v>
      </c>
    </row>
    <row r="56" spans="3:22" x14ac:dyDescent="0.25">
      <c r="C56" s="62" t="str">
        <f>'Input Page-HUBS'!G8</f>
        <v>HubSpot, Inc.</v>
      </c>
      <c r="D56" s="52" t="str">
        <f>'Input Page-HUBS'!G9</f>
        <v>HUBS</v>
      </c>
      <c r="E56" s="115">
        <f>'Input Page-HUBS'!G18</f>
        <v>202</v>
      </c>
      <c r="F56" s="54">
        <f>'Input Page-HUBS'!G18/'Input Page-HUBS'!G19</f>
        <v>0.35553365249225571</v>
      </c>
      <c r="G56" s="53">
        <f>'Input Page-HUBS'!G23</f>
        <v>10605</v>
      </c>
      <c r="H56" s="53">
        <f>'Input Page-HUBS'!G28</f>
        <v>8913.9</v>
      </c>
      <c r="I56" s="84">
        <f>'Input Page-HUBS'!D35</f>
        <v>42.34631828978619</v>
      </c>
      <c r="J56" s="84" t="str">
        <f>'Input Page-HUBS'!E35</f>
        <v>NA</v>
      </c>
      <c r="K56" s="84" t="str">
        <f>'Input Page-HUBS'!F35</f>
        <v>NA</v>
      </c>
      <c r="L56" s="54" t="s">
        <v>9</v>
      </c>
      <c r="M56" s="84">
        <f>IFERROR('Input Page-HUBS'!U21/'Input Page-HUBS'!O38,"NM")</f>
        <v>0</v>
      </c>
      <c r="N56" s="84" t="str">
        <f>IFERROR('Input Page-HUBS'!O38/'Input Page-HUBS'!O16,"NM")</f>
        <v>NM</v>
      </c>
      <c r="O56" s="84" t="str">
        <f>'Input Page-HUBS'!D39</f>
        <v>NM</v>
      </c>
      <c r="P56" s="84">
        <f>'Input Page-HUBS'!E39</f>
        <v>15.443425076452598</v>
      </c>
      <c r="Q56" s="84" t="str">
        <f>'Input Page-HUBS'!F39</f>
        <v>NA</v>
      </c>
      <c r="R56" s="54" t="str">
        <f>'Input Page-HUBS'!G59</f>
        <v>NA</v>
      </c>
      <c r="S56" s="125">
        <f>IFERROR('Input Page-HUBS'!G49/'Input Page-HUBS'!G18,0)</f>
        <v>0</v>
      </c>
      <c r="T56" s="125">
        <f>'Input Page-HUBS'!D41</f>
        <v>7.0023573785950019E-2</v>
      </c>
      <c r="U56" s="125" t="str">
        <f>'Input Page-HUBS'!E41</f>
        <v>NA</v>
      </c>
      <c r="V56" s="138" t="str">
        <f>'Input Page-HUBS'!F41</f>
        <v>NA</v>
      </c>
    </row>
    <row r="57" spans="3:22" x14ac:dyDescent="0.25">
      <c r="C57" s="134" t="s">
        <v>207</v>
      </c>
      <c r="D57" s="110"/>
      <c r="E57" s="116"/>
      <c r="F57" s="111">
        <f>IFERROR(AVERAGE(F55:F56),"NA")</f>
        <v>0.47762231757560758</v>
      </c>
      <c r="G57" s="112"/>
      <c r="H57" s="112"/>
      <c r="I57" s="113">
        <f>IFERROR(AVERAGE(I55:I56),"NA")</f>
        <v>28.175437504474196</v>
      </c>
      <c r="J57" s="113" t="str">
        <f t="shared" ref="J57:V57" si="12">IFERROR(AVERAGE(J55:J56),"NA")</f>
        <v>NA</v>
      </c>
      <c r="K57" s="113" t="str">
        <f t="shared" si="12"/>
        <v>NA</v>
      </c>
      <c r="L57" s="111" t="str">
        <f t="shared" si="12"/>
        <v>NA</v>
      </c>
      <c r="M57" s="113">
        <f t="shared" si="12"/>
        <v>1.5700695499240547</v>
      </c>
      <c r="N57" s="113" t="str">
        <f t="shared" si="12"/>
        <v>NA</v>
      </c>
      <c r="O57" s="113">
        <f t="shared" si="12"/>
        <v>18.021438364701481</v>
      </c>
      <c r="P57" s="113">
        <f t="shared" si="12"/>
        <v>13.599899507064826</v>
      </c>
      <c r="Q57" s="113" t="str">
        <f t="shared" si="12"/>
        <v>NA</v>
      </c>
      <c r="R57" s="111" t="str">
        <f t="shared" si="12"/>
        <v>NA</v>
      </c>
      <c r="S57" s="114">
        <f t="shared" si="12"/>
        <v>5.3012048192771083E-3</v>
      </c>
      <c r="T57" s="114">
        <f t="shared" si="12"/>
        <v>8.4629358302207441E-2</v>
      </c>
      <c r="U57" s="114" t="str">
        <f t="shared" si="12"/>
        <v>NA</v>
      </c>
      <c r="V57" s="139" t="str">
        <f t="shared" si="12"/>
        <v>NA</v>
      </c>
    </row>
    <row r="58" spans="3:22" x14ac:dyDescent="0.25">
      <c r="C58" s="135" t="s">
        <v>208</v>
      </c>
      <c r="D58" s="105"/>
      <c r="E58" s="117"/>
      <c r="F58" s="106">
        <f>IFERROR(MEDIAN(F55:F56),"NA")</f>
        <v>0.47762231757560758</v>
      </c>
      <c r="G58" s="107"/>
      <c r="H58" s="107"/>
      <c r="I58" s="108">
        <f>IFERROR(MEDIAN(I55:I56),"NA")</f>
        <v>28.175437504474196</v>
      </c>
      <c r="J58" s="108" t="str">
        <f t="shared" ref="J58:V58" si="13">IFERROR(MEDIAN(J55:J56),"NA")</f>
        <v>NA</v>
      </c>
      <c r="K58" s="108" t="str">
        <f t="shared" si="13"/>
        <v>NA</v>
      </c>
      <c r="L58" s="106" t="str">
        <f t="shared" si="13"/>
        <v>NA</v>
      </c>
      <c r="M58" s="108">
        <f t="shared" si="13"/>
        <v>1.5700695499240547</v>
      </c>
      <c r="N58" s="108" t="str">
        <f t="shared" si="13"/>
        <v>NA</v>
      </c>
      <c r="O58" s="108">
        <f t="shared" si="13"/>
        <v>18.021438364701481</v>
      </c>
      <c r="P58" s="108">
        <f t="shared" si="13"/>
        <v>13.599899507064826</v>
      </c>
      <c r="Q58" s="108" t="str">
        <f t="shared" si="13"/>
        <v>NA</v>
      </c>
      <c r="R58" s="106" t="str">
        <f t="shared" si="13"/>
        <v>NA</v>
      </c>
      <c r="S58" s="126">
        <f t="shared" si="13"/>
        <v>5.3012048192771083E-3</v>
      </c>
      <c r="T58" s="126">
        <f t="shared" si="13"/>
        <v>8.4629358302207441E-2</v>
      </c>
      <c r="U58" s="126" t="str">
        <f t="shared" si="13"/>
        <v>NA</v>
      </c>
      <c r="V58" s="140" t="str">
        <f t="shared" si="13"/>
        <v>NA</v>
      </c>
    </row>
    <row r="59" spans="3:22" x14ac:dyDescent="0.25">
      <c r="C59" s="62"/>
      <c r="D59" s="52"/>
      <c r="E59" s="115"/>
      <c r="F59" s="54"/>
      <c r="G59" s="53"/>
      <c r="H59" s="53"/>
      <c r="I59" s="84"/>
      <c r="J59" s="84"/>
      <c r="K59" s="84"/>
      <c r="L59" s="54"/>
      <c r="M59" s="84"/>
      <c r="N59" s="84"/>
      <c r="O59" s="84"/>
      <c r="P59" s="84"/>
      <c r="Q59" s="84"/>
      <c r="R59" s="54"/>
      <c r="S59" s="125"/>
      <c r="T59" s="125"/>
      <c r="U59" s="125"/>
      <c r="V59" s="138"/>
    </row>
    <row r="60" spans="3:22" x14ac:dyDescent="0.25">
      <c r="C60" s="184" t="s">
        <v>206</v>
      </c>
      <c r="D60" s="185"/>
      <c r="E60" s="186"/>
      <c r="F60" s="187"/>
      <c r="G60" s="188"/>
      <c r="H60" s="188"/>
      <c r="I60" s="189"/>
      <c r="J60" s="189"/>
      <c r="K60" s="189"/>
      <c r="L60" s="187"/>
      <c r="M60" s="189"/>
      <c r="N60" s="189"/>
      <c r="O60" s="189"/>
      <c r="P60" s="189"/>
      <c r="Q60" s="189"/>
      <c r="R60" s="187"/>
      <c r="S60" s="190"/>
      <c r="T60" s="190"/>
      <c r="U60" s="190"/>
      <c r="V60" s="191"/>
    </row>
    <row r="61" spans="3:22" x14ac:dyDescent="0.25">
      <c r="C61" s="62" t="str">
        <f>'Input Page-DOCU'!G8</f>
        <v>DocuSign, Inc.</v>
      </c>
      <c r="D61" s="52" t="str">
        <f>'Input Page-DOCU'!G9</f>
        <v>DOCU</v>
      </c>
      <c r="E61" s="115">
        <f>'Input Page-DOCU'!G18</f>
        <v>47</v>
      </c>
      <c r="F61" s="54">
        <f>'Input Page-DOCU'!G18/'Input Page-DOCU'!G19</f>
        <v>0.54241200230813613</v>
      </c>
      <c r="G61" s="53">
        <f>'Input Page-DOCU'!G23</f>
        <v>9306</v>
      </c>
      <c r="H61" s="53">
        <f>'Input Page-DOCU'!G28</f>
        <v>8491.7999999999993</v>
      </c>
      <c r="I61" s="84">
        <f>'Input Page-DOCU'!D35</f>
        <v>18.168164313222096</v>
      </c>
      <c r="J61" s="84" t="str">
        <f>'Input Page-DOCU'!E35</f>
        <v>NA</v>
      </c>
      <c r="K61" s="84" t="str">
        <f>'Input Page-DOCU'!F35</f>
        <v>NA</v>
      </c>
      <c r="L61" s="54" t="s">
        <v>9</v>
      </c>
      <c r="M61" s="84">
        <f>IFERROR('Input Page-DOCU'!U21/'Input Page-DOCU'!O38,"NM")</f>
        <v>0</v>
      </c>
      <c r="N61" s="84" t="str">
        <f>IFERROR('Input Page-DOCU'!O38/'Input Page-DOCU'!O16,"NM")</f>
        <v>NM</v>
      </c>
      <c r="O61" s="84">
        <f>'Input Page-DOCU'!D39</f>
        <v>29.319047619047659</v>
      </c>
      <c r="P61" s="84">
        <f>'Input Page-DOCU'!E39</f>
        <v>11.898734177215189</v>
      </c>
      <c r="Q61" s="84" t="str">
        <f>'Input Page-DOCU'!F39</f>
        <v>NA</v>
      </c>
      <c r="R61" s="54" t="str">
        <f>'Input Page-DOCU'!G59</f>
        <v>NA</v>
      </c>
      <c r="S61" s="125">
        <f>IFERROR('Input Page-DOCU'!G49/'Input Page-DOCU'!G18,0)</f>
        <v>0</v>
      </c>
      <c r="T61" s="125">
        <f>'Input Page-DOCU'!D41</f>
        <v>0.12037395228884591</v>
      </c>
      <c r="U61" s="125" t="str">
        <f>'Input Page-DOCU'!E41</f>
        <v>NA</v>
      </c>
      <c r="V61" s="138" t="str">
        <f>'Input Page-DOCU'!F41</f>
        <v>NA</v>
      </c>
    </row>
    <row r="62" spans="3:22" x14ac:dyDescent="0.25">
      <c r="C62" s="62" t="str">
        <f>'Input Page-DBX'!G8</f>
        <v>Dropbox, Inc.</v>
      </c>
      <c r="D62" s="52" t="str">
        <f>'Input Page-DBX'!G9</f>
        <v>DBX</v>
      </c>
      <c r="E62" s="115">
        <f>'Input Page-DBX'!G18</f>
        <v>28.85</v>
      </c>
      <c r="F62" s="54">
        <f>'Input Page-DBX'!G18/'Input Page-DBX'!G19</f>
        <v>0.89043209876543217</v>
      </c>
      <c r="G62" s="53">
        <f>'Input Page-DBX'!G23</f>
        <v>6866.3</v>
      </c>
      <c r="H62" s="53">
        <f>'Input Page-DBX'!G28</f>
        <v>8952.4000000000015</v>
      </c>
      <c r="I62" s="84">
        <f>'Input Page-DBX'!D35</f>
        <v>10.70221159593544</v>
      </c>
      <c r="J62" s="84" t="str">
        <f>'Input Page-DBX'!E35</f>
        <v>NA</v>
      </c>
      <c r="K62" s="84" t="str">
        <f>'Input Page-DBX'!F35</f>
        <v>NA</v>
      </c>
      <c r="L62" s="54" t="s">
        <v>9</v>
      </c>
      <c r="M62" s="84">
        <f>IFERROR('Input Page-DBX'!U21/'Input Page-DBX'!O38,"NM")</f>
        <v>4.0345487148834405</v>
      </c>
      <c r="N62" s="84">
        <f>IFERROR('Input Page-DBX'!O38/'Input Page-DBX'!O16,"NM")</f>
        <v>7.2549869904596749</v>
      </c>
      <c r="O62" s="84">
        <f>'Input Page-DBX'!D39</f>
        <v>14.559299619128206</v>
      </c>
      <c r="P62" s="84">
        <f>'Input Page-DBX'!E39</f>
        <v>9.6166666666666671</v>
      </c>
      <c r="Q62" s="84" t="str">
        <f>'Input Page-DBX'!F39</f>
        <v>NA</v>
      </c>
      <c r="R62" s="54" t="str">
        <f>'Input Page-DBX'!G59</f>
        <v>NA</v>
      </c>
      <c r="S62" s="125">
        <f>IFERROR('Input Page-DBX'!G49/'Input Page-DBX'!G18,0)</f>
        <v>0</v>
      </c>
      <c r="T62" s="125">
        <f>'Input Page-DBX'!D41</f>
        <v>0.14278432343474651</v>
      </c>
      <c r="U62" s="125" t="str">
        <f>'Input Page-DBX'!E41</f>
        <v>NA</v>
      </c>
      <c r="V62" s="138" t="str">
        <f>'Input Page-DBX'!F41</f>
        <v>NA</v>
      </c>
    </row>
    <row r="63" spans="3:22" x14ac:dyDescent="0.25">
      <c r="C63" s="134" t="s">
        <v>207</v>
      </c>
      <c r="D63" s="110"/>
      <c r="E63" s="116"/>
      <c r="F63" s="111">
        <f>IFERROR(AVERAGE(F61:F62),"NA")</f>
        <v>0.71642205053678421</v>
      </c>
      <c r="G63" s="112"/>
      <c r="H63" s="112"/>
      <c r="I63" s="113">
        <f>IFERROR(AVERAGE(I61:I62),"NA")</f>
        <v>14.435187954578769</v>
      </c>
      <c r="J63" s="113" t="str">
        <f t="shared" ref="J63:V63" si="14">IFERROR(AVERAGE(J61:J62),"NA")</f>
        <v>NA</v>
      </c>
      <c r="K63" s="113" t="str">
        <f t="shared" si="14"/>
        <v>NA</v>
      </c>
      <c r="L63" s="111" t="str">
        <f t="shared" si="14"/>
        <v>NA</v>
      </c>
      <c r="M63" s="113">
        <f t="shared" si="14"/>
        <v>2.0172743574417202</v>
      </c>
      <c r="N63" s="113">
        <f t="shared" si="14"/>
        <v>7.2549869904596749</v>
      </c>
      <c r="O63" s="113">
        <f t="shared" si="14"/>
        <v>21.939173619087931</v>
      </c>
      <c r="P63" s="113">
        <f t="shared" si="14"/>
        <v>10.757700421940928</v>
      </c>
      <c r="Q63" s="113" t="str">
        <f t="shared" si="14"/>
        <v>NA</v>
      </c>
      <c r="R63" s="111" t="str">
        <f t="shared" si="14"/>
        <v>NA</v>
      </c>
      <c r="S63" s="114">
        <f t="shared" si="14"/>
        <v>0</v>
      </c>
      <c r="T63" s="114">
        <f t="shared" si="14"/>
        <v>0.1315791378617962</v>
      </c>
      <c r="U63" s="114" t="str">
        <f t="shared" si="14"/>
        <v>NA</v>
      </c>
      <c r="V63" s="139" t="str">
        <f t="shared" si="14"/>
        <v>NA</v>
      </c>
    </row>
    <row r="64" spans="3:22" x14ac:dyDescent="0.25">
      <c r="C64" s="135" t="s">
        <v>208</v>
      </c>
      <c r="D64" s="105"/>
      <c r="E64" s="117"/>
      <c r="F64" s="106">
        <f>IFERROR(MEDIAN(F61:F62),"NA")</f>
        <v>0.71642205053678421</v>
      </c>
      <c r="G64" s="107"/>
      <c r="H64" s="107"/>
      <c r="I64" s="108">
        <f>IFERROR(MEDIAN(I61:I62),"NA")</f>
        <v>14.435187954578769</v>
      </c>
      <c r="J64" s="108" t="str">
        <f t="shared" ref="J64:V64" si="15">IFERROR(MEDIAN(J61:J62),"NA")</f>
        <v>NA</v>
      </c>
      <c r="K64" s="108" t="str">
        <f t="shared" si="15"/>
        <v>NA</v>
      </c>
      <c r="L64" s="106" t="str">
        <f t="shared" si="15"/>
        <v>NA</v>
      </c>
      <c r="M64" s="108">
        <f t="shared" si="15"/>
        <v>2.0172743574417202</v>
      </c>
      <c r="N64" s="108">
        <f t="shared" si="15"/>
        <v>7.2549869904596749</v>
      </c>
      <c r="O64" s="108">
        <f t="shared" si="15"/>
        <v>21.939173619087931</v>
      </c>
      <c r="P64" s="108">
        <f t="shared" si="15"/>
        <v>10.757700421940928</v>
      </c>
      <c r="Q64" s="108" t="str">
        <f t="shared" si="15"/>
        <v>NA</v>
      </c>
      <c r="R64" s="106" t="str">
        <f t="shared" si="15"/>
        <v>NA</v>
      </c>
      <c r="S64" s="126">
        <f t="shared" si="15"/>
        <v>0</v>
      </c>
      <c r="T64" s="126">
        <f t="shared" si="15"/>
        <v>0.1315791378617962</v>
      </c>
      <c r="U64" s="126" t="str">
        <f t="shared" si="15"/>
        <v>NA</v>
      </c>
      <c r="V64" s="140" t="str">
        <f t="shared" si="15"/>
        <v>NA</v>
      </c>
    </row>
    <row r="65" spans="2:22" x14ac:dyDescent="0.25">
      <c r="C65" s="62"/>
      <c r="D65" s="52"/>
      <c r="E65" s="115"/>
      <c r="F65" s="54"/>
      <c r="G65" s="53"/>
      <c r="H65" s="53"/>
      <c r="I65" s="84"/>
      <c r="J65" s="84"/>
      <c r="K65" s="84"/>
      <c r="L65" s="54"/>
      <c r="M65" s="84"/>
      <c r="N65" s="84"/>
      <c r="O65" s="84"/>
      <c r="P65" s="84"/>
      <c r="Q65" s="84"/>
      <c r="R65" s="54"/>
      <c r="S65" s="125"/>
      <c r="T65" s="125"/>
      <c r="U65" s="125"/>
      <c r="V65" s="138"/>
    </row>
    <row r="66" spans="2:22" x14ac:dyDescent="0.25">
      <c r="C66" s="63" t="s">
        <v>209</v>
      </c>
      <c r="D66" s="52"/>
      <c r="E66" s="115"/>
      <c r="F66" s="54"/>
      <c r="G66" s="53"/>
      <c r="H66" s="53"/>
      <c r="I66" s="84"/>
      <c r="J66" s="84"/>
      <c r="K66" s="84"/>
      <c r="L66" s="54"/>
      <c r="M66" s="84"/>
      <c r="N66" s="84"/>
      <c r="O66" s="84"/>
      <c r="P66" s="84"/>
      <c r="Q66" s="84"/>
      <c r="R66" s="54"/>
      <c r="S66" s="125"/>
      <c r="T66" s="125"/>
      <c r="U66" s="125"/>
      <c r="V66" s="138"/>
    </row>
    <row r="67" spans="2:22" x14ac:dyDescent="0.25">
      <c r="C67" s="134" t="s">
        <v>207</v>
      </c>
      <c r="D67" s="110"/>
      <c r="E67" s="116"/>
      <c r="F67" s="111">
        <f>IFERROR(AVERAGE(F49:F50,F55:F56,F61:F62),"NA")</f>
        <v>0.53097697963698887</v>
      </c>
      <c r="G67" s="112"/>
      <c r="H67" s="112"/>
      <c r="I67" s="113">
        <f>IFERROR(AVERAGE(I49:I50,I55:I56,I61:I62),"NA")</f>
        <v>21.335325039667246</v>
      </c>
      <c r="J67" s="113" t="str">
        <f t="shared" ref="J67:V67" si="16">IFERROR(AVERAGE(J49:J50,J55:J56,J61:J62),"NA")</f>
        <v>NA</v>
      </c>
      <c r="K67" s="113" t="str">
        <f t="shared" si="16"/>
        <v>NA</v>
      </c>
      <c r="L67" s="111" t="str">
        <f t="shared" si="16"/>
        <v>NA</v>
      </c>
      <c r="M67" s="113">
        <f t="shared" si="16"/>
        <v>1.3943577579894875</v>
      </c>
      <c r="N67" s="113">
        <f t="shared" si="16"/>
        <v>7.2549869904596749</v>
      </c>
      <c r="O67" s="113">
        <f t="shared" si="16"/>
        <v>23.300647015893638</v>
      </c>
      <c r="P67" s="113">
        <f t="shared" si="16"/>
        <v>13.167039971602303</v>
      </c>
      <c r="Q67" s="113" t="str">
        <f t="shared" si="16"/>
        <v>NA</v>
      </c>
      <c r="R67" s="111" t="str">
        <f t="shared" si="16"/>
        <v>NA</v>
      </c>
      <c r="S67" s="114">
        <f t="shared" si="16"/>
        <v>1.7670682730923694E-3</v>
      </c>
      <c r="T67" s="114">
        <f t="shared" si="16"/>
        <v>8.5929594330045836E-2</v>
      </c>
      <c r="U67" s="114" t="str">
        <f t="shared" si="16"/>
        <v>NA</v>
      </c>
      <c r="V67" s="139" t="str">
        <f t="shared" si="16"/>
        <v>NA</v>
      </c>
    </row>
    <row r="68" spans="2:22" x14ac:dyDescent="0.25">
      <c r="C68" s="135" t="s">
        <v>208</v>
      </c>
      <c r="D68" s="105"/>
      <c r="E68" s="117"/>
      <c r="F68" s="106">
        <f>IFERROR(MEDIAN(F49:F50,F55:F56,F61:F62),"NA")</f>
        <v>0.57106149248354776</v>
      </c>
      <c r="G68" s="107"/>
      <c r="H68" s="107"/>
      <c r="I68" s="108">
        <f>IFERROR(MEDIAN(I49:I50,I55:I56,I61:I62),"NA")</f>
        <v>18.168164313222096</v>
      </c>
      <c r="J68" s="108" t="str">
        <f t="shared" ref="J68:V68" si="17">IFERROR(MEDIAN(J49:J50,J55:J56,J61:J62),"NA")</f>
        <v>NA</v>
      </c>
      <c r="K68" s="108" t="str">
        <f t="shared" si="17"/>
        <v>NA</v>
      </c>
      <c r="L68" s="106" t="str">
        <f t="shared" si="17"/>
        <v>NA</v>
      </c>
      <c r="M68" s="108">
        <f t="shared" si="17"/>
        <v>0.59572936660268716</v>
      </c>
      <c r="N68" s="108">
        <f t="shared" si="17"/>
        <v>7.2549869904596749</v>
      </c>
      <c r="O68" s="108">
        <f t="shared" si="17"/>
        <v>23.67024299187457</v>
      </c>
      <c r="P68" s="108">
        <f t="shared" si="17"/>
        <v>11.898734177215189</v>
      </c>
      <c r="Q68" s="108" t="str">
        <f t="shared" si="17"/>
        <v>NA</v>
      </c>
      <c r="R68" s="106" t="str">
        <f t="shared" si="17"/>
        <v>NA</v>
      </c>
      <c r="S68" s="126">
        <f t="shared" si="17"/>
        <v>0</v>
      </c>
      <c r="T68" s="126">
        <f t="shared" si="17"/>
        <v>8.4629358302207441E-2</v>
      </c>
      <c r="U68" s="126" t="str">
        <f t="shared" si="17"/>
        <v>NA</v>
      </c>
      <c r="V68" s="140" t="str">
        <f t="shared" si="17"/>
        <v>NA</v>
      </c>
    </row>
    <row r="69" spans="2:22" x14ac:dyDescent="0.25">
      <c r="C69" s="62"/>
      <c r="D69" s="52"/>
      <c r="E69" s="115"/>
      <c r="F69" s="54"/>
      <c r="G69" s="53"/>
      <c r="H69" s="53"/>
      <c r="I69" s="84"/>
      <c r="J69" s="84"/>
      <c r="K69" s="84"/>
      <c r="L69" s="54"/>
      <c r="M69" s="84"/>
      <c r="N69" s="84"/>
      <c r="O69" s="84"/>
      <c r="P69" s="84"/>
      <c r="Q69" s="84"/>
      <c r="R69" s="54"/>
      <c r="S69" s="125"/>
      <c r="T69" s="125"/>
      <c r="U69" s="125"/>
      <c r="V69" s="138"/>
    </row>
    <row r="70" spans="2:22" x14ac:dyDescent="0.25">
      <c r="B70" s="142"/>
      <c r="C70" s="109" t="s">
        <v>210</v>
      </c>
      <c r="D70" s="110"/>
      <c r="E70" s="116"/>
      <c r="F70" s="111">
        <f>IF(COUNT(F49:F50,F55:F56,F61:F62)=0,"NA",MAX(F49:F50,F55:F56,F61:F62))</f>
        <v>0.89043209876543217</v>
      </c>
      <c r="G70" s="112"/>
      <c r="H70" s="112"/>
      <c r="I70" s="113">
        <f>IF(COUNT(I49:I50,I55:I56,I61:I62)=0,"NA",MAX(I49:I50,I55:I56,I61:I62))</f>
        <v>42.34631828978619</v>
      </c>
      <c r="J70" s="113" t="str">
        <f t="shared" ref="J70:V70" si="18">IF(COUNT(J49:J50,J55:J56,J61:J62)=0,"NA",MAX(J49:J50,J55:J56,J61:J62))</f>
        <v>NA</v>
      </c>
      <c r="K70" s="113" t="str">
        <f t="shared" si="18"/>
        <v>NA</v>
      </c>
      <c r="L70" s="111" t="str">
        <f t="shared" si="18"/>
        <v>NA</v>
      </c>
      <c r="M70" s="113">
        <f t="shared" si="18"/>
        <v>4.0345487148834405</v>
      </c>
      <c r="N70" s="113">
        <f t="shared" si="18"/>
        <v>7.2549869904596749</v>
      </c>
      <c r="O70" s="113">
        <f t="shared" si="18"/>
        <v>31.302802460697201</v>
      </c>
      <c r="P70" s="113">
        <f t="shared" si="18"/>
        <v>17.12</v>
      </c>
      <c r="Q70" s="113" t="str">
        <f t="shared" si="18"/>
        <v>NA</v>
      </c>
      <c r="R70" s="111" t="str">
        <f t="shared" si="18"/>
        <v>NA</v>
      </c>
      <c r="S70" s="114">
        <f t="shared" si="18"/>
        <v>1.0602409638554217E-2</v>
      </c>
      <c r="T70" s="114">
        <f t="shared" si="18"/>
        <v>0.14278432343474651</v>
      </c>
      <c r="U70" s="114" t="str">
        <f t="shared" si="18"/>
        <v>NA</v>
      </c>
      <c r="V70" s="139" t="str">
        <f t="shared" si="18"/>
        <v>NA</v>
      </c>
    </row>
    <row r="71" spans="2:22" x14ac:dyDescent="0.25">
      <c r="B71" s="142"/>
      <c r="C71" s="136" t="s">
        <v>211</v>
      </c>
      <c r="D71" s="127"/>
      <c r="E71" s="128"/>
      <c r="F71" s="129">
        <f>IF(COUNT(F49:F50,F55:F56,F61:F62)=0,"NA",MIN(F49:F50,F55:F56,F61:F62))</f>
        <v>0.14749510215505177</v>
      </c>
      <c r="G71" s="130"/>
      <c r="H71" s="130"/>
      <c r="I71" s="131">
        <f>IF(COUNT(I49:I50,I55:I56,I61:I62)=0,"NA",MIN(I49:I50,I55:I56,I61:I62))</f>
        <v>10.70221159593544</v>
      </c>
      <c r="J71" s="131" t="str">
        <f t="shared" ref="J71:V71" si="19">IF(COUNT(J49:J50,J55:J56,J61:J62)=0,"NA",MIN(J49:J50,J55:J56,J61:J62))</f>
        <v>NA</v>
      </c>
      <c r="K71" s="131" t="str">
        <f t="shared" si="19"/>
        <v>NA</v>
      </c>
      <c r="L71" s="129" t="str">
        <f t="shared" si="19"/>
        <v>NA</v>
      </c>
      <c r="M71" s="131">
        <f t="shared" si="19"/>
        <v>0</v>
      </c>
      <c r="N71" s="131">
        <f t="shared" si="19"/>
        <v>7.2549869904596749</v>
      </c>
      <c r="O71" s="131">
        <f t="shared" si="19"/>
        <v>14.559299619128206</v>
      </c>
      <c r="P71" s="131">
        <f t="shared" si="19"/>
        <v>9.6166666666666671</v>
      </c>
      <c r="Q71" s="131" t="str">
        <f t="shared" si="19"/>
        <v>NA</v>
      </c>
      <c r="R71" s="129" t="str">
        <f t="shared" si="19"/>
        <v>NA</v>
      </c>
      <c r="S71" s="132">
        <f t="shared" si="19"/>
        <v>0</v>
      </c>
      <c r="T71" s="132">
        <f t="shared" si="19"/>
        <v>2.2722960151802658E-2</v>
      </c>
      <c r="U71" s="132" t="str">
        <f t="shared" si="19"/>
        <v>NA</v>
      </c>
      <c r="V71" s="141" t="str">
        <f t="shared" si="19"/>
        <v>NA</v>
      </c>
    </row>
  </sheetData>
  <mergeCells count="40">
    <mergeCell ref="C3:V3"/>
    <mergeCell ref="C4:V4"/>
    <mergeCell ref="C5:V5"/>
    <mergeCell ref="C7:C9"/>
    <mergeCell ref="D7:D9"/>
    <mergeCell ref="E7:E9"/>
    <mergeCell ref="F7:F9"/>
    <mergeCell ref="G7:G9"/>
    <mergeCell ref="H7:H9"/>
    <mergeCell ref="R7:R9"/>
    <mergeCell ref="S7:S9"/>
    <mergeCell ref="I7:Q7"/>
    <mergeCell ref="T7:V7"/>
    <mergeCell ref="I8:K8"/>
    <mergeCell ref="L8:N8"/>
    <mergeCell ref="O8:Q8"/>
    <mergeCell ref="T8:V8"/>
    <mergeCell ref="E43:E45"/>
    <mergeCell ref="F43:F45"/>
    <mergeCell ref="G43:G45"/>
    <mergeCell ref="H43:H45"/>
    <mergeCell ref="C12:V12"/>
    <mergeCell ref="C18:V18"/>
    <mergeCell ref="C24:V24"/>
    <mergeCell ref="T43:V44"/>
    <mergeCell ref="C48:V48"/>
    <mergeCell ref="C54:V54"/>
    <mergeCell ref="C60:V60"/>
    <mergeCell ref="C39:V39"/>
    <mergeCell ref="C40:V40"/>
    <mergeCell ref="C41:V41"/>
    <mergeCell ref="N43:N45"/>
    <mergeCell ref="R43:R45"/>
    <mergeCell ref="S43:S45"/>
    <mergeCell ref="I43:K44"/>
    <mergeCell ref="O43:Q44"/>
    <mergeCell ref="L43:L45"/>
    <mergeCell ref="M43:M45"/>
    <mergeCell ref="C43:C45"/>
    <mergeCell ref="D43:D45"/>
  </mergeCells>
  <printOptions horizontalCentered="1"/>
  <pageMargins left="0.5" right="0.5" top="0.6" bottom="0.6" header="0.3" footer="0.3"/>
  <pageSetup scale="69" fitToHeight="0" orientation="landscape" r:id="rId1"/>
  <headerFooter>
    <oddHeader>&amp;L&amp;"Times New Roman"&amp;9 Adobe Inc. (ADBE) — Trading Comparables&amp;R&amp;"Times New Roman"&amp;9&amp;A</oddHeader>
    <oddFooter>&amp;L&amp;"Times New Roman"&amp;8 Confidential&amp;C&amp;"Times New Roman"&amp;8 Page &amp;P of &amp;N&amp;R&amp;"Times New Roman"&amp;8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27E1F-FC69-4646-868F-2D534925856C}">
  <sheetPr>
    <pageSetUpPr fitToPage="1"/>
  </sheetPr>
  <dimension ref="C3:V69"/>
  <sheetViews>
    <sheetView showGridLines="0" topLeftCell="E38" workbookViewId="0"/>
  </sheetViews>
  <sheetFormatPr defaultRowHeight="13.8" x14ac:dyDescent="0.25"/>
  <cols>
    <col min="1" max="1" width="8.88671875" style="1"/>
    <col min="2" max="2" width="2.5546875" style="1" customWidth="1"/>
    <col min="3" max="3" width="25.88671875" style="1" customWidth="1"/>
    <col min="4" max="4" width="8.88671875" style="1"/>
    <col min="5" max="11" width="10.33203125" style="1" customWidth="1"/>
    <col min="12" max="15" width="9.21875" style="1" customWidth="1"/>
    <col min="16" max="22" width="8.109375" style="1" customWidth="1"/>
    <col min="23" max="16384" width="8.88671875" style="1"/>
  </cols>
  <sheetData>
    <row r="3" spans="3:22" ht="34.049999999999997" customHeight="1" x14ac:dyDescent="0.25">
      <c r="C3" s="225" t="s">
        <v>148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</row>
    <row r="4" spans="3:22" ht="19.95" customHeight="1" x14ac:dyDescent="0.3">
      <c r="C4" s="226" t="s">
        <v>231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</row>
    <row r="5" spans="3:22" ht="16.05" customHeight="1" x14ac:dyDescent="0.25">
      <c r="C5" s="227" t="s">
        <v>1</v>
      </c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</row>
    <row r="7" spans="3:22" x14ac:dyDescent="0.25">
      <c r="C7" s="195" t="s">
        <v>193</v>
      </c>
      <c r="D7" s="195" t="s">
        <v>4</v>
      </c>
      <c r="E7" s="195" t="s">
        <v>194</v>
      </c>
      <c r="F7" s="195"/>
      <c r="G7" s="195" t="s">
        <v>195</v>
      </c>
      <c r="H7" s="195"/>
      <c r="I7" s="195"/>
      <c r="J7" s="195"/>
      <c r="K7" s="195"/>
      <c r="L7" s="195" t="s">
        <v>196</v>
      </c>
      <c r="M7" s="195"/>
      <c r="N7" s="195"/>
      <c r="O7" s="195"/>
      <c r="P7" s="182" t="s">
        <v>42</v>
      </c>
      <c r="Q7" s="182"/>
      <c r="R7" s="182"/>
      <c r="S7" s="182"/>
      <c r="T7" s="182"/>
      <c r="U7" s="182"/>
      <c r="V7" s="182"/>
    </row>
    <row r="8" spans="3:22" x14ac:dyDescent="0.25">
      <c r="C8" s="195"/>
      <c r="D8" s="195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99" t="s">
        <v>43</v>
      </c>
      <c r="Q8" s="199"/>
      <c r="R8" s="199" t="s">
        <v>44</v>
      </c>
      <c r="S8" s="199"/>
      <c r="T8" s="199" t="s">
        <v>46</v>
      </c>
      <c r="U8" s="199"/>
      <c r="V8" s="199"/>
    </row>
    <row r="9" spans="3:22" ht="25.95" customHeight="1" thickBot="1" x14ac:dyDescent="0.3">
      <c r="C9" s="195"/>
      <c r="D9" s="195"/>
      <c r="E9" s="51" t="s">
        <v>19</v>
      </c>
      <c r="F9" s="51" t="s">
        <v>24</v>
      </c>
      <c r="G9" s="51" t="s">
        <v>43</v>
      </c>
      <c r="H9" s="51" t="s">
        <v>57</v>
      </c>
      <c r="I9" s="51" t="s">
        <v>44</v>
      </c>
      <c r="J9" s="51" t="s">
        <v>59</v>
      </c>
      <c r="K9" s="51" t="s">
        <v>66</v>
      </c>
      <c r="L9" s="51" t="s">
        <v>197</v>
      </c>
      <c r="M9" s="51" t="s">
        <v>198</v>
      </c>
      <c r="N9" s="51" t="s">
        <v>199</v>
      </c>
      <c r="O9" s="51" t="s">
        <v>200</v>
      </c>
      <c r="P9" s="51" t="s">
        <v>201</v>
      </c>
      <c r="Q9" s="51" t="s">
        <v>202</v>
      </c>
      <c r="R9" s="51" t="s">
        <v>201</v>
      </c>
      <c r="S9" s="51" t="s">
        <v>202</v>
      </c>
      <c r="T9" s="51" t="s">
        <v>201</v>
      </c>
      <c r="U9" s="51" t="s">
        <v>202</v>
      </c>
      <c r="V9" s="51" t="s">
        <v>203</v>
      </c>
    </row>
    <row r="10" spans="3:22" x14ac:dyDescent="0.25">
      <c r="C10" s="64" t="str">
        <f>'Input Page-ADBE'!G8</f>
        <v>Adobe Inc.</v>
      </c>
      <c r="D10" s="59" t="str">
        <f>'Input Page-ADBE'!G9</f>
        <v>ADBE</v>
      </c>
      <c r="E10" s="60">
        <f>'Input Page-ADBE'!G23</f>
        <v>86982</v>
      </c>
      <c r="F10" s="60">
        <f>'Input Page-ADBE'!G28</f>
        <v>88001</v>
      </c>
      <c r="G10" s="60">
        <f>'Input Page-ADBE'!O11</f>
        <v>25198</v>
      </c>
      <c r="H10" s="60">
        <f>'Input Page-ADBE'!O13</f>
        <v>22528</v>
      </c>
      <c r="I10" s="60">
        <f>'Input Page-ADBE'!O38</f>
        <v>9849</v>
      </c>
      <c r="J10" s="60">
        <f>'Input Page-ADBE'!O15</f>
        <v>9090</v>
      </c>
      <c r="K10" s="60">
        <f>'Input Page-ADBE'!O22</f>
        <v>7229</v>
      </c>
      <c r="L10" s="61">
        <f>IFERROR(H10/G10,"")</f>
        <v>0.8940392094610683</v>
      </c>
      <c r="M10" s="61">
        <f>IFERROR(I10/G10,"")</f>
        <v>0.39086435431383443</v>
      </c>
      <c r="N10" s="61">
        <f>IFERROR(J10/G10,"")</f>
        <v>0.36074291610445275</v>
      </c>
      <c r="O10" s="61">
        <f>IFERROR(K10/G10,"")</f>
        <v>0.28688784824192398</v>
      </c>
      <c r="P10" s="61">
        <f>'Input Page-ADBE'!D54</f>
        <v>0.10527784236224136</v>
      </c>
      <c r="Q10" s="61">
        <f>'Input Page-ADBE'!D57</f>
        <v>0.11573898775716263</v>
      </c>
      <c r="R10" s="61">
        <f>'Input Page-ADBE'!E54</f>
        <v>0.25348775993682549</v>
      </c>
      <c r="S10" s="61" t="str">
        <f>'Input Page-ADBE'!E57</f>
        <v>NA</v>
      </c>
      <c r="T10" s="61">
        <f>'Input Page-ADBE'!G54</f>
        <v>0.35144811551227395</v>
      </c>
      <c r="U10" s="61">
        <f>'Input Page-ADBE'!G57</f>
        <v>0.16600000000000001</v>
      </c>
      <c r="V10" s="67" t="str">
        <f>'Input Page-ADBE'!G59</f>
        <v>NA</v>
      </c>
    </row>
    <row r="11" spans="3:22" x14ac:dyDescent="0.25">
      <c r="C11" s="65"/>
      <c r="D11" s="52"/>
      <c r="E11" s="53"/>
      <c r="F11" s="53"/>
      <c r="G11" s="53"/>
      <c r="H11" s="53"/>
      <c r="I11" s="53"/>
      <c r="J11" s="53"/>
      <c r="K11" s="53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68"/>
    </row>
    <row r="12" spans="3:22" x14ac:dyDescent="0.25">
      <c r="C12" s="223" t="s">
        <v>204</v>
      </c>
      <c r="D12" s="185"/>
      <c r="E12" s="188"/>
      <c r="F12" s="188"/>
      <c r="G12" s="188"/>
      <c r="H12" s="188"/>
      <c r="I12" s="188"/>
      <c r="J12" s="188"/>
      <c r="K12" s="188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224"/>
    </row>
    <row r="13" spans="3:22" x14ac:dyDescent="0.25">
      <c r="C13" s="65" t="str">
        <f>'Input Page-ADSK'!G8</f>
        <v>Autodesk, Inc.</v>
      </c>
      <c r="D13" s="52" t="str">
        <f>'Input Page-ADSK'!G9</f>
        <v>ADSK</v>
      </c>
      <c r="E13" s="53">
        <f>'Input Page-ADSK'!G23</f>
        <v>45154</v>
      </c>
      <c r="F13" s="53">
        <f>'Input Page-ADSK'!G28</f>
        <v>44713</v>
      </c>
      <c r="G13" s="53">
        <f>'Input Page-ADSK'!O11</f>
        <v>7507</v>
      </c>
      <c r="H13" s="53">
        <f>'Input Page-ADSK'!O13</f>
        <v>6842</v>
      </c>
      <c r="I13" s="53">
        <f>'Input Page-ADSK'!O38</f>
        <v>2084</v>
      </c>
      <c r="J13" s="53">
        <f>'Input Page-ADSK'!O15</f>
        <v>1886</v>
      </c>
      <c r="K13" s="53">
        <f>'Input Page-ADSK'!O22</f>
        <v>1463</v>
      </c>
      <c r="L13" s="54">
        <f>IFERROR(H13/G13,"")</f>
        <v>0.91141601172239239</v>
      </c>
      <c r="M13" s="54">
        <f>IFERROR(I13/G13,"")</f>
        <v>0.27760756627147998</v>
      </c>
      <c r="N13" s="54">
        <f>IFERROR(J13/G13,"")</f>
        <v>0.25123218329559077</v>
      </c>
      <c r="O13" s="54">
        <f>IFERROR(K13/G13,"")</f>
        <v>0.19488477421073663</v>
      </c>
      <c r="P13" s="54">
        <f>'Input Page-ADSK'!D54</f>
        <v>0.1753384439732506</v>
      </c>
      <c r="Q13" s="54">
        <f>'Input Page-ADSK'!D57</f>
        <v>0.13585900638356918</v>
      </c>
      <c r="R13" s="54">
        <f>'Input Page-ADSK'!E54</f>
        <v>0.15580182529335063</v>
      </c>
      <c r="S13" s="54" t="str">
        <f>'Input Page-ADSK'!E57</f>
        <v>NA</v>
      </c>
      <c r="T13" s="54">
        <f>'Input Page-ADSK'!G54</f>
        <v>2.0194077296302515E-2</v>
      </c>
      <c r="U13" s="54" t="str">
        <f>'Input Page-ADSK'!G57</f>
        <v>NA</v>
      </c>
      <c r="V13" s="68" t="str">
        <f>'Input Page-ADSK'!G59</f>
        <v>NA</v>
      </c>
    </row>
    <row r="14" spans="3:22" x14ac:dyDescent="0.25">
      <c r="C14" s="65" t="str">
        <f>'Input Page-FIG'!G8</f>
        <v>Figma, Inc.</v>
      </c>
      <c r="D14" s="52" t="str">
        <f>'Input Page-FIG'!G9</f>
        <v>FIG</v>
      </c>
      <c r="E14" s="53">
        <f>'Input Page-FIG'!G23</f>
        <v>10540</v>
      </c>
      <c r="F14" s="53">
        <f>'Input Page-FIG'!G28</f>
        <v>8885.7999999999993</v>
      </c>
      <c r="G14" s="53">
        <f>'Input Page-FIG'!O11</f>
        <v>1160.9999999999998</v>
      </c>
      <c r="H14" s="53">
        <f>'Input Page-FIG'!O13</f>
        <v>926.29999999999973</v>
      </c>
      <c r="I14" s="53">
        <f>'Input Page-FIG'!O38</f>
        <v>-471.69999999999987</v>
      </c>
      <c r="J14" s="53">
        <f>'Input Page-FIG'!O15</f>
        <v>-1467.6</v>
      </c>
      <c r="K14" s="53">
        <f>'Input Page-FIG'!O22</f>
        <v>-1437.8</v>
      </c>
      <c r="L14" s="54">
        <f>IFERROR(H14/G14,"")</f>
        <v>0.79784668389319546</v>
      </c>
      <c r="M14" s="54">
        <f>IFERROR(I14/G14,"")</f>
        <v>-0.40628768303186907</v>
      </c>
      <c r="N14" s="54">
        <f>IFERROR(J14/G14,"")</f>
        <v>-1.2640826873385014</v>
      </c>
      <c r="O14" s="54">
        <f>IFERROR(K14/G14,"")</f>
        <v>-1.238415159345392</v>
      </c>
      <c r="P14" s="54">
        <f>'Input Page-FIG'!D54</f>
        <v>0.40961281708945263</v>
      </c>
      <c r="Q14" s="54">
        <f>'Input Page-FIG'!D57</f>
        <v>0.34968744080318248</v>
      </c>
      <c r="R14" s="54" t="str">
        <f>'Input Page-FIG'!E54</f>
        <v>NM</v>
      </c>
      <c r="S14" s="54" t="str">
        <f>'Input Page-FIG'!E57</f>
        <v>NA</v>
      </c>
      <c r="T14" s="54" t="str">
        <f>'Input Page-FIG'!G54</f>
        <v>NM</v>
      </c>
      <c r="U14" s="54" t="str">
        <f>'Input Page-FIG'!G57</f>
        <v>NA</v>
      </c>
      <c r="V14" s="68" t="str">
        <f>'Input Page-FIG'!G59</f>
        <v>NA</v>
      </c>
    </row>
    <row r="15" spans="3:22" x14ac:dyDescent="0.25">
      <c r="C15" s="69" t="s">
        <v>207</v>
      </c>
      <c r="D15" s="70"/>
      <c r="E15" s="71">
        <f>IFERROR(AVERAGE(E13:E14),"NA")</f>
        <v>27847</v>
      </c>
      <c r="F15" s="71">
        <f t="shared" ref="F15:V15" si="0">IFERROR(AVERAGE(F13:F14),"NA")</f>
        <v>26799.4</v>
      </c>
      <c r="G15" s="71">
        <f t="shared" si="0"/>
        <v>4334</v>
      </c>
      <c r="H15" s="71">
        <f t="shared" si="0"/>
        <v>3884.1499999999996</v>
      </c>
      <c r="I15" s="71">
        <f t="shared" si="0"/>
        <v>806.15000000000009</v>
      </c>
      <c r="J15" s="71">
        <f t="shared" si="0"/>
        <v>209.20000000000005</v>
      </c>
      <c r="K15" s="71">
        <f t="shared" si="0"/>
        <v>12.600000000000023</v>
      </c>
      <c r="L15" s="72">
        <f t="shared" si="0"/>
        <v>0.85463134780779393</v>
      </c>
      <c r="M15" s="72">
        <f t="shared" si="0"/>
        <v>-6.4340058380194548E-2</v>
      </c>
      <c r="N15" s="72">
        <f t="shared" si="0"/>
        <v>-0.50642525202145527</v>
      </c>
      <c r="O15" s="72">
        <f t="shared" si="0"/>
        <v>-0.52176519256732767</v>
      </c>
      <c r="P15" s="72">
        <f t="shared" si="0"/>
        <v>0.29247563053135162</v>
      </c>
      <c r="Q15" s="72">
        <f t="shared" si="0"/>
        <v>0.24277322359337583</v>
      </c>
      <c r="R15" s="72">
        <f t="shared" si="0"/>
        <v>0.15580182529335063</v>
      </c>
      <c r="S15" s="72" t="str">
        <f t="shared" si="0"/>
        <v>NA</v>
      </c>
      <c r="T15" s="72">
        <f t="shared" si="0"/>
        <v>2.0194077296302515E-2</v>
      </c>
      <c r="U15" s="72" t="str">
        <f t="shared" si="0"/>
        <v>NA</v>
      </c>
      <c r="V15" s="73" t="str">
        <f t="shared" si="0"/>
        <v>NA</v>
      </c>
    </row>
    <row r="16" spans="3:22" x14ac:dyDescent="0.25">
      <c r="C16" s="74" t="s">
        <v>208</v>
      </c>
      <c r="D16" s="75"/>
      <c r="E16" s="76">
        <f>IFERROR(MEDIAN(E13:E14),"NA")</f>
        <v>27847</v>
      </c>
      <c r="F16" s="76">
        <f t="shared" ref="F16:V16" si="1">IFERROR(MEDIAN(F13:F14),"NA")</f>
        <v>26799.399999999998</v>
      </c>
      <c r="G16" s="76">
        <f t="shared" si="1"/>
        <v>4334</v>
      </c>
      <c r="H16" s="76">
        <f t="shared" si="1"/>
        <v>3884.15</v>
      </c>
      <c r="I16" s="76">
        <f t="shared" si="1"/>
        <v>806.15000000000009</v>
      </c>
      <c r="J16" s="76">
        <f t="shared" si="1"/>
        <v>209.20000000000005</v>
      </c>
      <c r="K16" s="76">
        <f t="shared" si="1"/>
        <v>12.600000000000136</v>
      </c>
      <c r="L16" s="77">
        <f t="shared" si="1"/>
        <v>0.85463134780779393</v>
      </c>
      <c r="M16" s="77">
        <f t="shared" si="1"/>
        <v>-6.4340058380194576E-2</v>
      </c>
      <c r="N16" s="77">
        <f t="shared" si="1"/>
        <v>-0.50642525202145527</v>
      </c>
      <c r="O16" s="77">
        <f t="shared" si="1"/>
        <v>-0.52176519256732767</v>
      </c>
      <c r="P16" s="77">
        <f t="shared" si="1"/>
        <v>0.29247563053135162</v>
      </c>
      <c r="Q16" s="77">
        <f t="shared" si="1"/>
        <v>0.24277322359337583</v>
      </c>
      <c r="R16" s="77">
        <f t="shared" si="1"/>
        <v>0.15580182529335063</v>
      </c>
      <c r="S16" s="77" t="str">
        <f t="shared" si="1"/>
        <v>NA</v>
      </c>
      <c r="T16" s="77">
        <f t="shared" si="1"/>
        <v>2.0194077296302515E-2</v>
      </c>
      <c r="U16" s="77" t="str">
        <f t="shared" si="1"/>
        <v>NA</v>
      </c>
      <c r="V16" s="78" t="str">
        <f t="shared" si="1"/>
        <v>NA</v>
      </c>
    </row>
    <row r="17" spans="3:22" x14ac:dyDescent="0.25">
      <c r="C17" s="65"/>
      <c r="D17" s="52"/>
      <c r="E17" s="53"/>
      <c r="F17" s="53"/>
      <c r="G17" s="53"/>
      <c r="H17" s="53"/>
      <c r="I17" s="53"/>
      <c r="J17" s="53"/>
      <c r="K17" s="53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68"/>
    </row>
    <row r="18" spans="3:22" x14ac:dyDescent="0.25">
      <c r="C18" s="223" t="s">
        <v>205</v>
      </c>
      <c r="D18" s="185"/>
      <c r="E18" s="188"/>
      <c r="F18" s="188"/>
      <c r="G18" s="188"/>
      <c r="H18" s="188"/>
      <c r="I18" s="188"/>
      <c r="J18" s="188"/>
      <c r="K18" s="188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224"/>
    </row>
    <row r="19" spans="3:22" x14ac:dyDescent="0.25">
      <c r="C19" s="65" t="str">
        <f>'Input Page-CRM'!G8</f>
        <v>Salesforce, Inc.</v>
      </c>
      <c r="D19" s="52" t="str">
        <f>'Input Page-CRM'!G9</f>
        <v>CRM</v>
      </c>
      <c r="E19" s="53">
        <f>'Input Page-CRM'!G23</f>
        <v>147740</v>
      </c>
      <c r="F19" s="53">
        <f>'Input Page-CRM'!G28</f>
        <v>175183</v>
      </c>
      <c r="G19" s="53">
        <f>'Input Page-CRM'!O11</f>
        <v>42829</v>
      </c>
      <c r="H19" s="53">
        <f>'Input Page-CRM'!O13</f>
        <v>33254</v>
      </c>
      <c r="I19" s="53">
        <f>'Input Page-CRM'!O38</f>
        <v>12509</v>
      </c>
      <c r="J19" s="53">
        <f>'Input Page-CRM'!O15</f>
        <v>8736</v>
      </c>
      <c r="K19" s="53">
        <f>'Input Page-CRM'!O22</f>
        <v>8023</v>
      </c>
      <c r="L19" s="54">
        <f>IFERROR(H19/G19,"")</f>
        <v>0.77643652665250185</v>
      </c>
      <c r="M19" s="54">
        <f>IFERROR(I19/G19,"")</f>
        <v>0.29206845828760886</v>
      </c>
      <c r="N19" s="54">
        <f>IFERROR(J19/G19,"")</f>
        <v>0.20397394288916387</v>
      </c>
      <c r="O19" s="54">
        <f>IFERROR(K19/G19,"")</f>
        <v>0.1873263442994233</v>
      </c>
      <c r="P19" s="54">
        <f>'Input Page-CRM'!D54</f>
        <v>9.5791001451378754E-2</v>
      </c>
      <c r="Q19" s="54">
        <f>'Input Page-CRM'!D57</f>
        <v>0.1077664057796508</v>
      </c>
      <c r="R19" s="54">
        <f>'Input Page-CRM'!E54</f>
        <v>0.11982774761280668</v>
      </c>
      <c r="S19" s="54" t="str">
        <f>'Input Page-CRM'!E57</f>
        <v>NA</v>
      </c>
      <c r="T19" s="54">
        <f>'Input Page-CRM'!G54</f>
        <v>0.22598092071815024</v>
      </c>
      <c r="U19" s="54" t="str">
        <f>'Input Page-CRM'!G57</f>
        <v>NA</v>
      </c>
      <c r="V19" s="68" t="str">
        <f>'Input Page-CRM'!G59</f>
        <v>NA</v>
      </c>
    </row>
    <row r="20" spans="3:22" x14ac:dyDescent="0.25">
      <c r="C20" s="65" t="str">
        <f>'Input Page-HUBS'!G8</f>
        <v>HubSpot, Inc.</v>
      </c>
      <c r="D20" s="52" t="str">
        <f>'Input Page-HUBS'!G9</f>
        <v>HUBS</v>
      </c>
      <c r="E20" s="53">
        <f>'Input Page-HUBS'!G23</f>
        <v>10605</v>
      </c>
      <c r="F20" s="53">
        <f>'Input Page-HUBS'!G28</f>
        <v>8913.9</v>
      </c>
      <c r="G20" s="53">
        <f>'Input Page-HUBS'!O11</f>
        <v>3230.8</v>
      </c>
      <c r="H20" s="53">
        <f>'Input Page-HUBS'!O13</f>
        <v>2759.1000000000004</v>
      </c>
      <c r="I20" s="53">
        <f>'Input Page-HUBS'!O38</f>
        <v>210.50000000000017</v>
      </c>
      <c r="J20" s="53">
        <f>'Input Page-HUBS'!O15</f>
        <v>62.800000000000182</v>
      </c>
      <c r="K20" s="53">
        <f>'Input Page-HUBS'!O22</f>
        <v>100.30000000000018</v>
      </c>
      <c r="L20" s="54">
        <f>IFERROR(H20/G20,"")</f>
        <v>0.85399900953324259</v>
      </c>
      <c r="M20" s="54">
        <f>IFERROR(I20/G20,"")</f>
        <v>6.5154141389129672E-2</v>
      </c>
      <c r="N20" s="54">
        <f>IFERROR(J20/G20,"")</f>
        <v>1.9437910115141815E-2</v>
      </c>
      <c r="O20" s="54">
        <f>IFERROR(K20/G20,"")</f>
        <v>3.1044942429119777E-2</v>
      </c>
      <c r="P20" s="54">
        <f>'Input Page-HUBS'!D54</f>
        <v>0.19241097489783998</v>
      </c>
      <c r="Q20" s="54">
        <f>'Input Page-HUBS'!D57</f>
        <v>0.20891674010248362</v>
      </c>
      <c r="R20" s="54">
        <f>'Input Page-HUBS'!E54</f>
        <v>3.9381443298969572</v>
      </c>
      <c r="S20" s="54" t="str">
        <f>'Input Page-HUBS'!E57</f>
        <v>NA</v>
      </c>
      <c r="T20" s="54">
        <f>'Input Page-HUBS'!G54</f>
        <v>8.715675057208836</v>
      </c>
      <c r="U20" s="54" t="str">
        <f>'Input Page-HUBS'!G57</f>
        <v>NA</v>
      </c>
      <c r="V20" s="68" t="str">
        <f>'Input Page-HUBS'!G59</f>
        <v>NA</v>
      </c>
    </row>
    <row r="21" spans="3:22" x14ac:dyDescent="0.25">
      <c r="C21" s="69" t="s">
        <v>207</v>
      </c>
      <c r="D21" s="70"/>
      <c r="E21" s="71">
        <f>IFERROR(AVERAGE(E19:E20),"NA")</f>
        <v>79172.5</v>
      </c>
      <c r="F21" s="71">
        <f t="shared" ref="F21:V21" si="2">IFERROR(AVERAGE(F19:F20),"NA")</f>
        <v>92048.45</v>
      </c>
      <c r="G21" s="71">
        <f t="shared" si="2"/>
        <v>23029.9</v>
      </c>
      <c r="H21" s="71">
        <f t="shared" si="2"/>
        <v>18006.55</v>
      </c>
      <c r="I21" s="71">
        <f t="shared" si="2"/>
        <v>6359.75</v>
      </c>
      <c r="J21" s="71">
        <f t="shared" si="2"/>
        <v>4399.3999999999996</v>
      </c>
      <c r="K21" s="71">
        <f t="shared" si="2"/>
        <v>4061.65</v>
      </c>
      <c r="L21" s="72">
        <f t="shared" si="2"/>
        <v>0.81521776809287227</v>
      </c>
      <c r="M21" s="72">
        <f t="shared" si="2"/>
        <v>0.17861129983836926</v>
      </c>
      <c r="N21" s="72">
        <f t="shared" si="2"/>
        <v>0.11170592650215284</v>
      </c>
      <c r="O21" s="72">
        <f t="shared" si="2"/>
        <v>0.10918564336427154</v>
      </c>
      <c r="P21" s="72">
        <f t="shared" si="2"/>
        <v>0.14410098817460937</v>
      </c>
      <c r="Q21" s="72">
        <f t="shared" si="2"/>
        <v>0.15834157294106721</v>
      </c>
      <c r="R21" s="72">
        <f t="shared" si="2"/>
        <v>2.0289860387548817</v>
      </c>
      <c r="S21" s="72" t="str">
        <f t="shared" si="2"/>
        <v>NA</v>
      </c>
      <c r="T21" s="72">
        <f t="shared" si="2"/>
        <v>4.4708279889634932</v>
      </c>
      <c r="U21" s="72" t="str">
        <f t="shared" si="2"/>
        <v>NA</v>
      </c>
      <c r="V21" s="73" t="str">
        <f t="shared" si="2"/>
        <v>NA</v>
      </c>
    </row>
    <row r="22" spans="3:22" x14ac:dyDescent="0.25">
      <c r="C22" s="74" t="s">
        <v>208</v>
      </c>
      <c r="D22" s="75"/>
      <c r="E22" s="76">
        <f>IFERROR(MEDIAN(E19:E20),"NA")</f>
        <v>79172.5</v>
      </c>
      <c r="F22" s="76">
        <f t="shared" ref="F22:V22" si="3">IFERROR(MEDIAN(F19:F20),"NA")</f>
        <v>92048.45</v>
      </c>
      <c r="G22" s="76">
        <f t="shared" si="3"/>
        <v>23029.899999999998</v>
      </c>
      <c r="H22" s="76">
        <f t="shared" si="3"/>
        <v>18006.550000000003</v>
      </c>
      <c r="I22" s="76">
        <f t="shared" si="3"/>
        <v>6359.75</v>
      </c>
      <c r="J22" s="76">
        <f t="shared" si="3"/>
        <v>4399.4000000000005</v>
      </c>
      <c r="K22" s="76">
        <f t="shared" si="3"/>
        <v>4061.65</v>
      </c>
      <c r="L22" s="77">
        <f t="shared" si="3"/>
        <v>0.81521776809287227</v>
      </c>
      <c r="M22" s="77">
        <f t="shared" si="3"/>
        <v>0.17861129983836926</v>
      </c>
      <c r="N22" s="77">
        <f t="shared" si="3"/>
        <v>0.11170592650215284</v>
      </c>
      <c r="O22" s="77">
        <f t="shared" si="3"/>
        <v>0.10918564336427153</v>
      </c>
      <c r="P22" s="77">
        <f t="shared" si="3"/>
        <v>0.14410098817460937</v>
      </c>
      <c r="Q22" s="77">
        <f t="shared" si="3"/>
        <v>0.15834157294106721</v>
      </c>
      <c r="R22" s="77">
        <f t="shared" si="3"/>
        <v>2.0289860387548817</v>
      </c>
      <c r="S22" s="77" t="str">
        <f t="shared" si="3"/>
        <v>NA</v>
      </c>
      <c r="T22" s="77">
        <f t="shared" si="3"/>
        <v>4.4708279889634932</v>
      </c>
      <c r="U22" s="77" t="str">
        <f t="shared" si="3"/>
        <v>NA</v>
      </c>
      <c r="V22" s="78" t="str">
        <f t="shared" si="3"/>
        <v>NA</v>
      </c>
    </row>
    <row r="23" spans="3:22" x14ac:dyDescent="0.25">
      <c r="C23" s="65"/>
      <c r="D23" s="52"/>
      <c r="E23" s="53"/>
      <c r="F23" s="53"/>
      <c r="G23" s="53"/>
      <c r="H23" s="53"/>
      <c r="I23" s="53"/>
      <c r="J23" s="53"/>
      <c r="K23" s="53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68"/>
    </row>
    <row r="24" spans="3:22" x14ac:dyDescent="0.25">
      <c r="C24" s="223" t="s">
        <v>206</v>
      </c>
      <c r="D24" s="185"/>
      <c r="E24" s="188"/>
      <c r="F24" s="188"/>
      <c r="G24" s="188"/>
      <c r="H24" s="188"/>
      <c r="I24" s="188"/>
      <c r="J24" s="188"/>
      <c r="K24" s="188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224"/>
    </row>
    <row r="25" spans="3:22" x14ac:dyDescent="0.25">
      <c r="C25" s="65" t="str">
        <f>'Input Page-DOCU'!G8</f>
        <v>DocuSign, Inc.</v>
      </c>
      <c r="D25" s="52" t="str">
        <f>'Input Page-DOCU'!G9</f>
        <v>DOCU</v>
      </c>
      <c r="E25" s="53">
        <f>'Input Page-DOCU'!G23</f>
        <v>9306</v>
      </c>
      <c r="F25" s="53">
        <f>'Input Page-DOCU'!G28</f>
        <v>8491.7999999999993</v>
      </c>
      <c r="G25" s="53">
        <f>'Input Page-DOCU'!O11</f>
        <v>3217.1000000000004</v>
      </c>
      <c r="H25" s="53">
        <f>'Input Page-DOCU'!O13</f>
        <v>2609</v>
      </c>
      <c r="I25" s="53">
        <f>'Input Page-DOCU'!O38</f>
        <v>467.39999999999952</v>
      </c>
      <c r="J25" s="53">
        <f>'Input Page-DOCU'!O15</f>
        <v>349.49999999999955</v>
      </c>
      <c r="K25" s="53">
        <f>'Input Page-DOCU'!O22</f>
        <v>314.99999999999955</v>
      </c>
      <c r="L25" s="54">
        <f>IFERROR(H25/G25,"")</f>
        <v>0.81097883186720954</v>
      </c>
      <c r="M25" s="54">
        <f>IFERROR(I25/G25,"")</f>
        <v>0.14528612725746773</v>
      </c>
      <c r="N25" s="54">
        <f>IFERROR(J25/G25,"")</f>
        <v>0.10863821454104614</v>
      </c>
      <c r="O25" s="54">
        <f>IFERROR(K25/G25,"")</f>
        <v>9.7914270616393489E-2</v>
      </c>
      <c r="P25" s="54">
        <f>'Input Page-DOCU'!D54</f>
        <v>8.5926998242167096E-2</v>
      </c>
      <c r="Q25" s="54">
        <f>'Input Page-DOCU'!D57</f>
        <v>0.10962991176283876</v>
      </c>
      <c r="R25" s="54">
        <f>'Input Page-DOCU'!E54</f>
        <v>0.34774130646733559</v>
      </c>
      <c r="S25" s="54" t="str">
        <f>'Input Page-DOCU'!E57</f>
        <v>NA</v>
      </c>
      <c r="T25" s="54">
        <f>'Input Page-DOCU'!G54</f>
        <v>0.34869365766516736</v>
      </c>
      <c r="U25" s="54" t="str">
        <f>'Input Page-DOCU'!G57</f>
        <v>NA</v>
      </c>
      <c r="V25" s="68" t="str">
        <f>'Input Page-DOCU'!G59</f>
        <v>NA</v>
      </c>
    </row>
    <row r="26" spans="3:22" x14ac:dyDescent="0.25">
      <c r="C26" s="65" t="str">
        <f>'Input Page-DBX'!G8</f>
        <v>Dropbox, Inc.</v>
      </c>
      <c r="D26" s="52" t="str">
        <f>'Input Page-DBX'!G9</f>
        <v>DBX</v>
      </c>
      <c r="E26" s="53">
        <f>'Input Page-DBX'!G23</f>
        <v>6866.3</v>
      </c>
      <c r="F26" s="53">
        <f>'Input Page-DBX'!G28</f>
        <v>8952.4000000000015</v>
      </c>
      <c r="G26" s="53">
        <f>'Input Page-DBX'!O11</f>
        <v>2525.8000000000002</v>
      </c>
      <c r="H26" s="53">
        <f>'Input Page-DBX'!O13</f>
        <v>2013.6000000000004</v>
      </c>
      <c r="I26" s="53">
        <f>'Input Page-DBX'!O38</f>
        <v>836.50000000000057</v>
      </c>
      <c r="J26" s="53">
        <f>'Input Page-DBX'!O15</f>
        <v>678.10000000000059</v>
      </c>
      <c r="K26" s="53">
        <f>'Input Page-DBX'!O22</f>
        <v>472.6000000000007</v>
      </c>
      <c r="L26" s="54">
        <f>IFERROR(H26/G26,"")</f>
        <v>0.79721276427270571</v>
      </c>
      <c r="M26" s="54">
        <f>IFERROR(I26/G26,"")</f>
        <v>0.33118219969910545</v>
      </c>
      <c r="N26" s="54">
        <f>IFERROR(J26/G26,"")</f>
        <v>0.26846939583498319</v>
      </c>
      <c r="O26" s="54">
        <f>IFERROR(K26/G26,"")</f>
        <v>0.18710903476126403</v>
      </c>
      <c r="P26" s="54">
        <f>'Input Page-DBX'!D54</f>
        <v>-1.0674201397064542E-2</v>
      </c>
      <c r="Q26" s="54">
        <f>'Input Page-DBX'!D57</f>
        <v>-6.3466878222927514E-3</v>
      </c>
      <c r="R26" s="54">
        <f>'Input Page-DBX'!E54</f>
        <v>0.35765838011227014</v>
      </c>
      <c r="S26" s="54" t="str">
        <f>'Input Page-DBX'!E57</f>
        <v>NA</v>
      </c>
      <c r="T26" s="54">
        <f>'Input Page-DBX'!G54</f>
        <v>0.34051309766543092</v>
      </c>
      <c r="U26" s="54" t="str">
        <f>'Input Page-DBX'!G57</f>
        <v>NA</v>
      </c>
      <c r="V26" s="68" t="str">
        <f>'Input Page-DBX'!G59</f>
        <v>NA</v>
      </c>
    </row>
    <row r="27" spans="3:22" x14ac:dyDescent="0.25">
      <c r="C27" s="69" t="s">
        <v>207</v>
      </c>
      <c r="D27" s="70"/>
      <c r="E27" s="71">
        <f>IFERROR(AVERAGE(E25:E26),"NA")</f>
        <v>8086.15</v>
      </c>
      <c r="F27" s="71">
        <f t="shared" ref="F27:V27" si="4">IFERROR(AVERAGE(F25:F26),"NA")</f>
        <v>8722.1</v>
      </c>
      <c r="G27" s="71">
        <f t="shared" si="4"/>
        <v>2871.4500000000003</v>
      </c>
      <c r="H27" s="71">
        <f t="shared" si="4"/>
        <v>2311.3000000000002</v>
      </c>
      <c r="I27" s="71">
        <f t="shared" si="4"/>
        <v>651.95000000000005</v>
      </c>
      <c r="J27" s="71">
        <f t="shared" si="4"/>
        <v>513.80000000000007</v>
      </c>
      <c r="K27" s="71">
        <f t="shared" si="4"/>
        <v>393.80000000000013</v>
      </c>
      <c r="L27" s="72">
        <f t="shared" si="4"/>
        <v>0.80409579806995768</v>
      </c>
      <c r="M27" s="72">
        <f t="shared" si="4"/>
        <v>0.23823416347828658</v>
      </c>
      <c r="N27" s="72">
        <f t="shared" si="4"/>
        <v>0.18855380518801468</v>
      </c>
      <c r="O27" s="72">
        <f t="shared" si="4"/>
        <v>0.14251165268882876</v>
      </c>
      <c r="P27" s="72">
        <f t="shared" si="4"/>
        <v>3.7626398422551277E-2</v>
      </c>
      <c r="Q27" s="72">
        <f t="shared" si="4"/>
        <v>5.1641611970273005E-2</v>
      </c>
      <c r="R27" s="72">
        <f t="shared" si="4"/>
        <v>0.35269984328980286</v>
      </c>
      <c r="S27" s="72" t="str">
        <f t="shared" si="4"/>
        <v>NA</v>
      </c>
      <c r="T27" s="72">
        <f t="shared" si="4"/>
        <v>0.34460337766529914</v>
      </c>
      <c r="U27" s="72" t="str">
        <f t="shared" si="4"/>
        <v>NA</v>
      </c>
      <c r="V27" s="73" t="str">
        <f t="shared" si="4"/>
        <v>NA</v>
      </c>
    </row>
    <row r="28" spans="3:22" x14ac:dyDescent="0.25">
      <c r="C28" s="74" t="s">
        <v>208</v>
      </c>
      <c r="D28" s="75"/>
      <c r="E28" s="76">
        <f>IFERROR(MEDIAN(E25:E26),"NA")</f>
        <v>8086.15</v>
      </c>
      <c r="F28" s="76">
        <f t="shared" ref="F28:V28" si="5">IFERROR(MEDIAN(F25:F26),"NA")</f>
        <v>8722.1</v>
      </c>
      <c r="G28" s="76">
        <f t="shared" si="5"/>
        <v>2871.4500000000003</v>
      </c>
      <c r="H28" s="76">
        <f t="shared" si="5"/>
        <v>2311.3000000000002</v>
      </c>
      <c r="I28" s="76">
        <f t="shared" si="5"/>
        <v>651.95000000000005</v>
      </c>
      <c r="J28" s="76">
        <f t="shared" si="5"/>
        <v>513.80000000000007</v>
      </c>
      <c r="K28" s="76">
        <f t="shared" si="5"/>
        <v>393.80000000000013</v>
      </c>
      <c r="L28" s="77">
        <f t="shared" si="5"/>
        <v>0.80409579806995768</v>
      </c>
      <c r="M28" s="77">
        <f t="shared" si="5"/>
        <v>0.23823416347828658</v>
      </c>
      <c r="N28" s="77">
        <f t="shared" si="5"/>
        <v>0.18855380518801468</v>
      </c>
      <c r="O28" s="77">
        <f t="shared" si="5"/>
        <v>0.14251165268882876</v>
      </c>
      <c r="P28" s="77">
        <f t="shared" si="5"/>
        <v>3.7626398422551277E-2</v>
      </c>
      <c r="Q28" s="77">
        <f t="shared" si="5"/>
        <v>5.1641611970273005E-2</v>
      </c>
      <c r="R28" s="77">
        <f t="shared" si="5"/>
        <v>0.35269984328980286</v>
      </c>
      <c r="S28" s="77" t="str">
        <f t="shared" si="5"/>
        <v>NA</v>
      </c>
      <c r="T28" s="77">
        <f t="shared" si="5"/>
        <v>0.34460337766529914</v>
      </c>
      <c r="U28" s="77" t="str">
        <f t="shared" si="5"/>
        <v>NA</v>
      </c>
      <c r="V28" s="78" t="str">
        <f t="shared" si="5"/>
        <v>NA</v>
      </c>
    </row>
    <row r="29" spans="3:22" x14ac:dyDescent="0.25">
      <c r="C29" s="65"/>
      <c r="D29" s="52"/>
      <c r="E29" s="53"/>
      <c r="F29" s="53"/>
      <c r="G29" s="53"/>
      <c r="H29" s="53"/>
      <c r="I29" s="53"/>
      <c r="J29" s="53"/>
      <c r="K29" s="53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68"/>
    </row>
    <row r="30" spans="3:22" x14ac:dyDescent="0.25">
      <c r="C30" s="66" t="s">
        <v>209</v>
      </c>
      <c r="D30" s="52"/>
      <c r="E30" s="53"/>
      <c r="F30" s="53"/>
      <c r="G30" s="53"/>
      <c r="H30" s="53"/>
      <c r="I30" s="53"/>
      <c r="J30" s="53"/>
      <c r="K30" s="53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68"/>
    </row>
    <row r="31" spans="3:22" x14ac:dyDescent="0.25">
      <c r="C31" s="69" t="s">
        <v>207</v>
      </c>
      <c r="D31" s="70"/>
      <c r="E31" s="71">
        <f>IFERROR(AVERAGE(E13:E14,E19:E20,E25:E26),"NA")</f>
        <v>38368.549999999996</v>
      </c>
      <c r="F31" s="71">
        <f t="shared" ref="F31:V31" si="6">IFERROR(AVERAGE(F13:F14,F19:F20,F25:F26),"NA")</f>
        <v>42523.316666666658</v>
      </c>
      <c r="G31" s="71">
        <f t="shared" si="6"/>
        <v>10078.450000000001</v>
      </c>
      <c r="H31" s="71">
        <f t="shared" si="6"/>
        <v>8067.333333333333</v>
      </c>
      <c r="I31" s="71">
        <f t="shared" si="6"/>
        <v>2605.9499999999998</v>
      </c>
      <c r="J31" s="71">
        <f t="shared" si="6"/>
        <v>1707.4666666666669</v>
      </c>
      <c r="K31" s="71">
        <f t="shared" si="6"/>
        <v>1489.3500000000001</v>
      </c>
      <c r="L31" s="72">
        <f t="shared" si="6"/>
        <v>0.82464830465687455</v>
      </c>
      <c r="M31" s="72">
        <f t="shared" si="6"/>
        <v>0.11750180164548711</v>
      </c>
      <c r="N31" s="72">
        <f t="shared" si="6"/>
        <v>-6.8721840110429255E-2</v>
      </c>
      <c r="O31" s="72">
        <f t="shared" si="6"/>
        <v>-9.0022632171409114E-2</v>
      </c>
      <c r="P31" s="72">
        <f t="shared" si="6"/>
        <v>0.15806767237617075</v>
      </c>
      <c r="Q31" s="72">
        <f t="shared" si="6"/>
        <v>0.15091880283490536</v>
      </c>
      <c r="R31" s="72">
        <f t="shared" si="6"/>
        <v>0.98383471787654408</v>
      </c>
      <c r="S31" s="72" t="str">
        <f t="shared" si="6"/>
        <v>NA</v>
      </c>
      <c r="T31" s="72">
        <f t="shared" si="6"/>
        <v>1.9302113621107775</v>
      </c>
      <c r="U31" s="72" t="str">
        <f t="shared" si="6"/>
        <v>NA</v>
      </c>
      <c r="V31" s="73" t="str">
        <f t="shared" si="6"/>
        <v>NA</v>
      </c>
    </row>
    <row r="32" spans="3:22" x14ac:dyDescent="0.25">
      <c r="C32" s="74" t="s">
        <v>208</v>
      </c>
      <c r="D32" s="75"/>
      <c r="E32" s="76">
        <f>IFERROR(MEDIAN(E13:E14,E19:E20,E25:E26),"NA")</f>
        <v>10572.5</v>
      </c>
      <c r="F32" s="76">
        <f t="shared" ref="F32:V32" si="7">IFERROR(MEDIAN(F13:F14,F19:F20,F25:F26),"NA")</f>
        <v>8933.1500000000015</v>
      </c>
      <c r="G32" s="76">
        <f t="shared" si="7"/>
        <v>3223.9500000000003</v>
      </c>
      <c r="H32" s="76">
        <f t="shared" si="7"/>
        <v>2684.05</v>
      </c>
      <c r="I32" s="76">
        <f t="shared" si="7"/>
        <v>651.95000000000005</v>
      </c>
      <c r="J32" s="76">
        <f t="shared" si="7"/>
        <v>513.80000000000007</v>
      </c>
      <c r="K32" s="76">
        <f t="shared" si="7"/>
        <v>393.80000000000013</v>
      </c>
      <c r="L32" s="77">
        <f t="shared" si="7"/>
        <v>0.8044127578802025</v>
      </c>
      <c r="M32" s="77">
        <f t="shared" si="7"/>
        <v>0.21144684676447384</v>
      </c>
      <c r="N32" s="77">
        <f t="shared" si="7"/>
        <v>0.15630607871510499</v>
      </c>
      <c r="O32" s="77">
        <f t="shared" si="7"/>
        <v>0.14251165268882876</v>
      </c>
      <c r="P32" s="77">
        <f t="shared" si="7"/>
        <v>0.13556472271231468</v>
      </c>
      <c r="Q32" s="77">
        <f t="shared" si="7"/>
        <v>0.12274445907320397</v>
      </c>
      <c r="R32" s="77">
        <f t="shared" si="7"/>
        <v>0.34774130646733559</v>
      </c>
      <c r="S32" s="77" t="str">
        <f t="shared" si="7"/>
        <v>NA</v>
      </c>
      <c r="T32" s="77">
        <f t="shared" si="7"/>
        <v>0.34051309766543092</v>
      </c>
      <c r="U32" s="77" t="str">
        <f t="shared" si="7"/>
        <v>NA</v>
      </c>
      <c r="V32" s="78" t="str">
        <f t="shared" si="7"/>
        <v>NA</v>
      </c>
    </row>
    <row r="33" spans="3:22" x14ac:dyDescent="0.25">
      <c r="C33" s="65"/>
      <c r="D33" s="52"/>
      <c r="E33" s="53"/>
      <c r="F33" s="53"/>
      <c r="G33" s="53"/>
      <c r="H33" s="53"/>
      <c r="I33" s="53"/>
      <c r="J33" s="53"/>
      <c r="K33" s="53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68"/>
    </row>
    <row r="34" spans="3:22" x14ac:dyDescent="0.25">
      <c r="C34" s="69" t="s">
        <v>210</v>
      </c>
      <c r="D34" s="70"/>
      <c r="E34" s="71">
        <f>IFERROR(MAX(E13:E14,E19:E20,E25:E26),"NA")</f>
        <v>147740</v>
      </c>
      <c r="F34" s="71">
        <f t="shared" ref="F34:V34" si="8">IFERROR(MAX(F13:F14,F19:F20,F25:F26),"NA")</f>
        <v>175183</v>
      </c>
      <c r="G34" s="71">
        <f t="shared" si="8"/>
        <v>42829</v>
      </c>
      <c r="H34" s="71">
        <f t="shared" si="8"/>
        <v>33254</v>
      </c>
      <c r="I34" s="71">
        <f t="shared" si="8"/>
        <v>12509</v>
      </c>
      <c r="J34" s="71">
        <f t="shared" si="8"/>
        <v>8736</v>
      </c>
      <c r="K34" s="71">
        <f t="shared" si="8"/>
        <v>8023</v>
      </c>
      <c r="L34" s="72">
        <f t="shared" si="8"/>
        <v>0.91141601172239239</v>
      </c>
      <c r="M34" s="72">
        <f t="shared" si="8"/>
        <v>0.33118219969910545</v>
      </c>
      <c r="N34" s="72">
        <f t="shared" si="8"/>
        <v>0.26846939583498319</v>
      </c>
      <c r="O34" s="72">
        <f t="shared" si="8"/>
        <v>0.19488477421073663</v>
      </c>
      <c r="P34" s="72">
        <f t="shared" si="8"/>
        <v>0.40961281708945263</v>
      </c>
      <c r="Q34" s="72">
        <f t="shared" si="8"/>
        <v>0.34968744080318248</v>
      </c>
      <c r="R34" s="72">
        <f t="shared" si="8"/>
        <v>3.9381443298969572</v>
      </c>
      <c r="S34" s="72" t="str">
        <f>IF(COUNT(S13:S14,S19:S20,S25:S26)=0,"NA",MAX(S13:S14,S19:S20,S25:S26))</f>
        <v>NA</v>
      </c>
      <c r="T34" s="72">
        <f t="shared" si="8"/>
        <v>8.715675057208836</v>
      </c>
      <c r="U34" s="72" t="str">
        <f>IF(COUNT(U13:U14,U19:U20,U25:U26)=0,"NA",MAX(U13:U14,U19:U20,U25:U26))</f>
        <v>NA</v>
      </c>
      <c r="V34" s="73" t="str">
        <f>IF(COUNT(V13:V14,V19:V20,V25:V26)=0,"NA",MAX(V13:V14,V19:V20,V25:V26))</f>
        <v>NA</v>
      </c>
    </row>
    <row r="35" spans="3:22" x14ac:dyDescent="0.25">
      <c r="C35" s="79" t="s">
        <v>211</v>
      </c>
      <c r="D35" s="80"/>
      <c r="E35" s="81">
        <f>IFERROR(MIN(E13:E14,E19:E20,E25:E26),"NA")</f>
        <v>6866.3</v>
      </c>
      <c r="F35" s="81">
        <f t="shared" ref="F35:V35" si="9">IFERROR(MIN(F13:F14,F19:F20,F25:F26),"NA")</f>
        <v>8491.7999999999993</v>
      </c>
      <c r="G35" s="81">
        <f t="shared" si="9"/>
        <v>1160.9999999999998</v>
      </c>
      <c r="H35" s="81">
        <f t="shared" si="9"/>
        <v>926.29999999999973</v>
      </c>
      <c r="I35" s="81">
        <f t="shared" si="9"/>
        <v>-471.69999999999987</v>
      </c>
      <c r="J35" s="81">
        <f t="shared" si="9"/>
        <v>-1467.6</v>
      </c>
      <c r="K35" s="81">
        <f t="shared" si="9"/>
        <v>-1437.8</v>
      </c>
      <c r="L35" s="82">
        <f t="shared" si="9"/>
        <v>0.77643652665250185</v>
      </c>
      <c r="M35" s="82">
        <f t="shared" si="9"/>
        <v>-0.40628768303186907</v>
      </c>
      <c r="N35" s="82">
        <f t="shared" si="9"/>
        <v>-1.2640826873385014</v>
      </c>
      <c r="O35" s="82">
        <f t="shared" si="9"/>
        <v>-1.238415159345392</v>
      </c>
      <c r="P35" s="82">
        <f t="shared" si="9"/>
        <v>-1.0674201397064542E-2</v>
      </c>
      <c r="Q35" s="82">
        <f t="shared" si="9"/>
        <v>-6.3466878222927514E-3</v>
      </c>
      <c r="R35" s="82">
        <f t="shared" si="9"/>
        <v>0.11982774761280668</v>
      </c>
      <c r="S35" s="82" t="str">
        <f>IF(COUNT(S13:S14,S19:S20,S25:S26)=0,"NA",MIN(S13:S14,S19:S20,S25:S26))</f>
        <v>NA</v>
      </c>
      <c r="T35" s="82">
        <f t="shared" si="9"/>
        <v>2.0194077296302515E-2</v>
      </c>
      <c r="U35" s="82" t="str">
        <f>IF(COUNT(U13:U14,U19:U20,U25:U26)=0,"NA",MIN(U13:U14,U19:U20,U25:U26))</f>
        <v>NA</v>
      </c>
      <c r="V35" s="83" t="str">
        <f>IF(COUNT(V13:V14,V19:V20,V25:V26)=0,"NA",MIN(V13:V14,V19:V20,V25:V26))</f>
        <v>NA</v>
      </c>
    </row>
    <row r="38" spans="3:22" ht="34.049999999999997" customHeight="1" x14ac:dyDescent="0.25">
      <c r="C38" s="192" t="s">
        <v>148</v>
      </c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</row>
    <row r="39" spans="3:22" ht="19.95" customHeight="1" x14ac:dyDescent="0.25">
      <c r="C39" s="193" t="s">
        <v>212</v>
      </c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</row>
    <row r="40" spans="3:22" ht="16.05" customHeight="1" x14ac:dyDescent="0.25">
      <c r="C40" s="194" t="s">
        <v>1</v>
      </c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</row>
    <row r="42" spans="3:22" x14ac:dyDescent="0.25">
      <c r="C42" s="217" t="s">
        <v>193</v>
      </c>
      <c r="D42" s="219" t="s">
        <v>4</v>
      </c>
      <c r="E42" s="221" t="s">
        <v>213</v>
      </c>
      <c r="F42" s="221"/>
      <c r="G42" s="221" t="s">
        <v>214</v>
      </c>
      <c r="H42" s="221"/>
      <c r="I42" s="221"/>
      <c r="J42" s="221"/>
      <c r="K42" s="221" t="s">
        <v>215</v>
      </c>
      <c r="L42" s="221"/>
      <c r="M42" s="221"/>
      <c r="N42" s="221" t="s">
        <v>216</v>
      </c>
      <c r="O42" s="221"/>
      <c r="P42" s="221"/>
      <c r="Q42" s="221" t="s">
        <v>217</v>
      </c>
      <c r="R42" s="222"/>
    </row>
    <row r="43" spans="3:22" ht="30" customHeight="1" thickBot="1" x14ac:dyDescent="0.3">
      <c r="C43" s="218"/>
      <c r="D43" s="220"/>
      <c r="E43" s="93" t="s">
        <v>218</v>
      </c>
      <c r="F43" s="93" t="s">
        <v>11</v>
      </c>
      <c r="G43" s="93" t="s">
        <v>219</v>
      </c>
      <c r="H43" s="93" t="s">
        <v>220</v>
      </c>
      <c r="I43" s="93" t="s">
        <v>221</v>
      </c>
      <c r="J43" s="93" t="s">
        <v>222</v>
      </c>
      <c r="K43" s="93" t="s">
        <v>223</v>
      </c>
      <c r="L43" s="93" t="s">
        <v>224</v>
      </c>
      <c r="M43" s="93" t="s">
        <v>225</v>
      </c>
      <c r="N43" s="93" t="s">
        <v>226</v>
      </c>
      <c r="O43" s="93" t="s">
        <v>227</v>
      </c>
      <c r="P43" s="93" t="s">
        <v>228</v>
      </c>
      <c r="Q43" s="93" t="s">
        <v>229</v>
      </c>
      <c r="R43" s="94" t="s">
        <v>230</v>
      </c>
    </row>
    <row r="44" spans="3:22" x14ac:dyDescent="0.25">
      <c r="C44" s="90" t="str">
        <f>'Input Page-ADBE'!G8</f>
        <v>Adobe Inc.</v>
      </c>
      <c r="D44" s="56" t="str">
        <f>'Input Page-ADBE'!G9</f>
        <v>ADBE</v>
      </c>
      <c r="E44" s="56" t="str">
        <f>'Input Page-ADBE'!G11</f>
        <v>November 28</v>
      </c>
      <c r="F44" s="91">
        <f>'Input Page-ADBE'!G14</f>
        <v>1.43</v>
      </c>
      <c r="G44" s="57">
        <f>'Input Page-ADBE'!G46</f>
        <v>0.4085569874643934</v>
      </c>
      <c r="H44" s="57">
        <f>'Input Page-ADBE'!G47</f>
        <v>0.62762632401458585</v>
      </c>
      <c r="I44" s="57">
        <f>'Input Page-ADBE'!G48</f>
        <v>0.24150603013396585</v>
      </c>
      <c r="J44" s="57">
        <f>IFERROR('Input Page-ADBE'!G49/'Input Page-ADBE'!G18,0)</f>
        <v>0</v>
      </c>
      <c r="K44" s="57">
        <f>'Input Page-ADBE'!G45</f>
        <v>0.36585365853658536</v>
      </c>
      <c r="L44" s="85">
        <f>IF('Input Page-ADBE'!O38&lt;=0,"NM",'Input Page-ADBE'!U21/'Input Page-ADBE'!O38)</f>
        <v>0.67468778556198594</v>
      </c>
      <c r="M44" s="85">
        <f>IF('Input Page-ADBE'!O38&lt;=0,"NM",('Input Page-ADBE'!U21-'Input Page-ADBE'!U8)/'Input Page-ADBE'!O38)</f>
        <v>0.10346228043456189</v>
      </c>
      <c r="N44" s="85">
        <f>IFERROR('Input Page-ADBE'!O38/'Input Page-ADBE'!O16,"NM")</f>
        <v>37.735632183908045</v>
      </c>
      <c r="O44" s="85">
        <f>IFERROR(('Input Page-ADBE'!O38-'Input Page-ADBE'!O50)/'Input Page-ADBE'!O16,"NM")</f>
        <v>36.96551724137931</v>
      </c>
      <c r="P44" s="85">
        <f>IFERROR('Input Page-ADBE'!O15/'Input Page-ADBE'!O16,"NM")</f>
        <v>34.827586206896555</v>
      </c>
      <c r="Q44" s="56" t="str">
        <f>'Input Page-ADBE'!G12</f>
        <v>NA</v>
      </c>
      <c r="R44" s="92" t="str">
        <f>'Input Page-ADBE'!G13</f>
        <v>NA</v>
      </c>
    </row>
    <row r="45" spans="3:22" x14ac:dyDescent="0.25">
      <c r="C45" s="87"/>
      <c r="D45" s="52"/>
      <c r="E45" s="52"/>
      <c r="F45" s="86"/>
      <c r="G45" s="54"/>
      <c r="H45" s="54"/>
      <c r="I45" s="54"/>
      <c r="J45" s="54"/>
      <c r="K45" s="54"/>
      <c r="L45" s="84"/>
      <c r="M45" s="84"/>
      <c r="N45" s="84"/>
      <c r="O45" s="84"/>
      <c r="P45" s="84"/>
      <c r="Q45" s="52"/>
      <c r="R45" s="89"/>
    </row>
    <row r="46" spans="3:22" x14ac:dyDescent="0.25">
      <c r="C46" s="214" t="s">
        <v>204</v>
      </c>
      <c r="D46" s="185"/>
      <c r="E46" s="185"/>
      <c r="F46" s="215"/>
      <c r="G46" s="187"/>
      <c r="H46" s="187"/>
      <c r="I46" s="187"/>
      <c r="J46" s="187"/>
      <c r="K46" s="187"/>
      <c r="L46" s="189"/>
      <c r="M46" s="189"/>
      <c r="N46" s="189"/>
      <c r="O46" s="189"/>
      <c r="P46" s="189"/>
      <c r="Q46" s="185"/>
      <c r="R46" s="216"/>
    </row>
    <row r="47" spans="3:22" x14ac:dyDescent="0.25">
      <c r="C47" s="87" t="str">
        <f>'Input Page-ADSK'!G8</f>
        <v>Autodesk, Inc.</v>
      </c>
      <c r="D47" s="52" t="str">
        <f>'Input Page-ADSK'!G9</f>
        <v>ADSK</v>
      </c>
      <c r="E47" s="52" t="str">
        <f>'Input Page-ADSK'!G11</f>
        <v>January 31</v>
      </c>
      <c r="F47" s="86">
        <f>'Input Page-ADSK'!G14</f>
        <v>1.32</v>
      </c>
      <c r="G47" s="54">
        <f>'Input Page-ADSK'!G46</f>
        <v>0.23315152213717755</v>
      </c>
      <c r="H47" s="54">
        <f>'Input Page-ADSK'!G47</f>
        <v>0.4587645029789903</v>
      </c>
      <c r="I47" s="54">
        <f>'Input Page-ADSK'!G48</f>
        <v>0.12261146496815287</v>
      </c>
      <c r="J47" s="54">
        <f>IFERROR('Input Page-ADSK'!G49/'Input Page-ADSK'!G18,0)</f>
        <v>0</v>
      </c>
      <c r="K47" s="54">
        <f>'Input Page-ADSK'!G45</f>
        <v>0.43776445698166433</v>
      </c>
      <c r="L47" s="84">
        <f>IF('Input Page-ADSK'!O38&lt;=0,"NM",'Input Page-ADSK'!U21/'Input Page-ADSK'!O38)</f>
        <v>1.1914587332053743</v>
      </c>
      <c r="M47" s="84">
        <f>IF('Input Page-ADSK'!O38&lt;=0,"NM",('Input Page-ADSK'!U21-'Input Page-ADSK'!U8)/'Input Page-ADSK'!O38)</f>
        <v>-0.21161228406909788</v>
      </c>
      <c r="N47" s="84" t="str">
        <f>IFERROR('Input Page-ADSK'!O38/'Input Page-ADSK'!O16,"NM")</f>
        <v>NM</v>
      </c>
      <c r="O47" s="84" t="str">
        <f>IFERROR(('Input Page-ADSK'!O38-'Input Page-ADSK'!O50)/'Input Page-ADSK'!O16,"NM")</f>
        <v>NM</v>
      </c>
      <c r="P47" s="84" t="str">
        <f>IFERROR('Input Page-ADSK'!O15/'Input Page-ADSK'!O16,"NM")</f>
        <v>NM</v>
      </c>
      <c r="Q47" s="52" t="str">
        <f>'Input Page-ADSK'!G12</f>
        <v>NA</v>
      </c>
      <c r="R47" s="89" t="str">
        <f>'Input Page-ADSK'!G13</f>
        <v>NA</v>
      </c>
    </row>
    <row r="48" spans="3:22" x14ac:dyDescent="0.25">
      <c r="C48" s="87" t="str">
        <f>'Input Page-FIG'!G8</f>
        <v>Figma, Inc.</v>
      </c>
      <c r="D48" s="52" t="str">
        <f>'Input Page-FIG'!G9</f>
        <v>FIG</v>
      </c>
      <c r="E48" s="52" t="str">
        <f>'Input Page-FIG'!G11</f>
        <v>December 31</v>
      </c>
      <c r="F48" s="86">
        <f>'Input Page-FIG'!G14</f>
        <v>1.1499999999999999</v>
      </c>
      <c r="G48" s="54">
        <f>'Input Page-FIG'!G46</f>
        <v>-0.26671310912834584</v>
      </c>
      <c r="H48" s="54">
        <f>'Input Page-FIG'!G47</f>
        <v>-0.45778792038435129</v>
      </c>
      <c r="I48" s="54">
        <f>'Input Page-FIG'!G48</f>
        <v>-0.29116334904836727</v>
      </c>
      <c r="J48" s="54">
        <f>IFERROR('Input Page-FIG'!G49/'Input Page-FIG'!G18,0)</f>
        <v>0</v>
      </c>
      <c r="K48" s="54">
        <f>'Input Page-FIG'!G45</f>
        <v>0</v>
      </c>
      <c r="L48" s="84" t="str">
        <f>IF('Input Page-FIG'!O38&lt;=0,"NM",'Input Page-FIG'!U21/'Input Page-FIG'!O38)</f>
        <v>NM</v>
      </c>
      <c r="M48" s="84" t="str">
        <f>IF('Input Page-FIG'!O38&lt;=0,"NM",('Input Page-FIG'!U21-'Input Page-FIG'!U8)/'Input Page-FIG'!O38)</f>
        <v>NM</v>
      </c>
      <c r="N48" s="84" t="str">
        <f>IFERROR('Input Page-FIG'!O38/'Input Page-FIG'!O16,"NM")</f>
        <v>NM</v>
      </c>
      <c r="O48" s="84" t="str">
        <f>IFERROR(('Input Page-FIG'!O38-'Input Page-FIG'!O50)/'Input Page-FIG'!O16,"NM")</f>
        <v>NM</v>
      </c>
      <c r="P48" s="84" t="str">
        <f>IFERROR('Input Page-FIG'!O15/'Input Page-FIG'!O16,"NM")</f>
        <v>NM</v>
      </c>
      <c r="Q48" s="52" t="str">
        <f>'Input Page-FIG'!G12</f>
        <v>NA</v>
      </c>
      <c r="R48" s="89" t="str">
        <f>'Input Page-FIG'!G13</f>
        <v>NA</v>
      </c>
    </row>
    <row r="49" spans="3:18" x14ac:dyDescent="0.25">
      <c r="C49" s="95" t="s">
        <v>207</v>
      </c>
      <c r="D49" s="75"/>
      <c r="E49" s="75"/>
      <c r="F49" s="96">
        <f>IFERROR(AVERAGE(F47:F48),"NA")</f>
        <v>1.2349999999999999</v>
      </c>
      <c r="G49" s="77">
        <f t="shared" ref="G49:P49" si="10">IFERROR(AVERAGE(G47:G48),"NA")</f>
        <v>-1.6780793495584145E-2</v>
      </c>
      <c r="H49" s="77">
        <f t="shared" si="10"/>
        <v>4.8829129731950416E-4</v>
      </c>
      <c r="I49" s="77">
        <f t="shared" si="10"/>
        <v>-8.4275942040107202E-2</v>
      </c>
      <c r="J49" s="77">
        <f t="shared" si="10"/>
        <v>0</v>
      </c>
      <c r="K49" s="77">
        <f t="shared" si="10"/>
        <v>0.21888222849083216</v>
      </c>
      <c r="L49" s="97">
        <f t="shared" si="10"/>
        <v>1.1914587332053743</v>
      </c>
      <c r="M49" s="97">
        <f t="shared" si="10"/>
        <v>-0.21161228406909788</v>
      </c>
      <c r="N49" s="97" t="str">
        <f t="shared" si="10"/>
        <v>NA</v>
      </c>
      <c r="O49" s="97" t="str">
        <f t="shared" si="10"/>
        <v>NA</v>
      </c>
      <c r="P49" s="97" t="str">
        <f t="shared" si="10"/>
        <v>NA</v>
      </c>
      <c r="Q49" s="75"/>
      <c r="R49" s="98"/>
    </row>
    <row r="50" spans="3:18" x14ac:dyDescent="0.25">
      <c r="C50" s="95" t="s">
        <v>208</v>
      </c>
      <c r="D50" s="75"/>
      <c r="E50" s="75"/>
      <c r="F50" s="96">
        <f>IFERROR(MEDIAN(F47:F48),"NA")</f>
        <v>1.2349999999999999</v>
      </c>
      <c r="G50" s="77">
        <f t="shared" ref="G50:P50" si="11">IFERROR(MEDIAN(G47:G48),"NA")</f>
        <v>-1.6780793495584145E-2</v>
      </c>
      <c r="H50" s="77">
        <f t="shared" si="11"/>
        <v>4.882912973194764E-4</v>
      </c>
      <c r="I50" s="77">
        <f t="shared" si="11"/>
        <v>-8.4275942040107188E-2</v>
      </c>
      <c r="J50" s="77">
        <f t="shared" si="11"/>
        <v>0</v>
      </c>
      <c r="K50" s="77">
        <f t="shared" si="11"/>
        <v>0.21888222849083216</v>
      </c>
      <c r="L50" s="97">
        <f t="shared" si="11"/>
        <v>1.1914587332053743</v>
      </c>
      <c r="M50" s="97">
        <f t="shared" si="11"/>
        <v>-0.21161228406909788</v>
      </c>
      <c r="N50" s="97" t="str">
        <f t="shared" si="11"/>
        <v>NA</v>
      </c>
      <c r="O50" s="97" t="str">
        <f t="shared" si="11"/>
        <v>NA</v>
      </c>
      <c r="P50" s="97" t="str">
        <f t="shared" si="11"/>
        <v>NA</v>
      </c>
      <c r="Q50" s="75"/>
      <c r="R50" s="98"/>
    </row>
    <row r="51" spans="3:18" x14ac:dyDescent="0.25">
      <c r="C51" s="87"/>
      <c r="D51" s="52"/>
      <c r="E51" s="52"/>
      <c r="F51" s="86"/>
      <c r="G51" s="54"/>
      <c r="H51" s="54"/>
      <c r="I51" s="54"/>
      <c r="J51" s="54"/>
      <c r="K51" s="54"/>
      <c r="L51" s="84"/>
      <c r="M51" s="84"/>
      <c r="N51" s="84"/>
      <c r="O51" s="84"/>
      <c r="P51" s="84"/>
      <c r="Q51" s="52"/>
      <c r="R51" s="89"/>
    </row>
    <row r="52" spans="3:18" x14ac:dyDescent="0.25">
      <c r="C52" s="214" t="s">
        <v>205</v>
      </c>
      <c r="D52" s="185"/>
      <c r="E52" s="185"/>
      <c r="F52" s="215"/>
      <c r="G52" s="187"/>
      <c r="H52" s="187"/>
      <c r="I52" s="187"/>
      <c r="J52" s="187"/>
      <c r="K52" s="187"/>
      <c r="L52" s="189"/>
      <c r="M52" s="189"/>
      <c r="N52" s="189"/>
      <c r="O52" s="189"/>
      <c r="P52" s="189"/>
      <c r="Q52" s="185"/>
      <c r="R52" s="216"/>
    </row>
    <row r="53" spans="3:18" x14ac:dyDescent="0.25">
      <c r="C53" s="87" t="str">
        <f>'Input Page-CRM'!G8</f>
        <v>Salesforce, Inc.</v>
      </c>
      <c r="D53" s="52" t="str">
        <f>'Input Page-CRM'!G9</f>
        <v>CRM</v>
      </c>
      <c r="E53" s="52" t="str">
        <f>'Input Page-CRM'!G11</f>
        <v>January 31</v>
      </c>
      <c r="F53" s="86">
        <f>'Input Page-CRM'!G14</f>
        <v>1.18</v>
      </c>
      <c r="G53" s="54">
        <f>'Input Page-CRM'!G46</f>
        <v>9.3081603994382894E-2</v>
      </c>
      <c r="H53" s="54">
        <f>'Input Page-CRM'!G47</f>
        <v>0.234350810573974</v>
      </c>
      <c r="I53" s="54">
        <f>'Input Page-CRM'!G48</f>
        <v>7.5206224221972248E-2</v>
      </c>
      <c r="J53" s="54">
        <f>IFERROR('Input Page-CRM'!G49/'Input Page-CRM'!G18,0)</f>
        <v>1.0602409638554217E-2</v>
      </c>
      <c r="K53" s="54">
        <f>'Input Page-CRM'!G45</f>
        <v>0.53431272529415763</v>
      </c>
      <c r="L53" s="84">
        <f>IF('Input Page-CRM'!O38&lt;=0,"NM",'Input Page-CRM'!U21/'Input Page-CRM'!O38)</f>
        <v>3.1401390998481093</v>
      </c>
      <c r="M53" s="84">
        <f>IF('Input Page-CRM'!O38&lt;=0,"NM",('Input Page-CRM'!U21-'Input Page-CRM'!U8)/'Input Page-CRM'!O38)</f>
        <v>2.1938604204972418</v>
      </c>
      <c r="N53" s="84" t="str">
        <f>IFERROR('Input Page-CRM'!O38/'Input Page-CRM'!O16,"NM")</f>
        <v>NM</v>
      </c>
      <c r="O53" s="84" t="str">
        <f>IFERROR(('Input Page-CRM'!O38-'Input Page-CRM'!O50)/'Input Page-CRM'!O16,"NM")</f>
        <v>NM</v>
      </c>
      <c r="P53" s="84" t="str">
        <f>IFERROR('Input Page-CRM'!O15/'Input Page-CRM'!O16,"NM")</f>
        <v>NM</v>
      </c>
      <c r="Q53" s="52" t="str">
        <f>'Input Page-CRM'!G12</f>
        <v>NA</v>
      </c>
      <c r="R53" s="89" t="str">
        <f>'Input Page-CRM'!G13</f>
        <v>NA</v>
      </c>
    </row>
    <row r="54" spans="3:18" x14ac:dyDescent="0.25">
      <c r="C54" s="87" t="str">
        <f>'Input Page-HUBS'!G8</f>
        <v>HubSpot, Inc.</v>
      </c>
      <c r="D54" s="52" t="str">
        <f>'Input Page-HUBS'!G9</f>
        <v>HUBS</v>
      </c>
      <c r="E54" s="52" t="str">
        <f>'Input Page-HUBS'!G11</f>
        <v>December 31</v>
      </c>
      <c r="F54" s="86">
        <f>'Input Page-HUBS'!G14</f>
        <v>1.23</v>
      </c>
      <c r="G54" s="54">
        <f>'Input Page-HUBS'!G46</f>
        <v>2.0770787216380815E-2</v>
      </c>
      <c r="H54" s="54">
        <f>'Input Page-HUBS'!G47</f>
        <v>5.0230368589743682E-2</v>
      </c>
      <c r="I54" s="54">
        <f>'Input Page-HUBS'!G48</f>
        <v>2.6193460775096676E-2</v>
      </c>
      <c r="J54" s="54">
        <f>IFERROR('Input Page-HUBS'!G49/'Input Page-HUBS'!G18,0)</f>
        <v>0</v>
      </c>
      <c r="K54" s="54">
        <f>'Input Page-HUBS'!G45</f>
        <v>0</v>
      </c>
      <c r="L54" s="84">
        <f>IF('Input Page-HUBS'!O38&lt;=0,"NM",'Input Page-HUBS'!U21/'Input Page-HUBS'!O38)</f>
        <v>0</v>
      </c>
      <c r="M54" s="84">
        <f>IF('Input Page-HUBS'!O38&lt;=0,"NM",('Input Page-HUBS'!U21-'Input Page-HUBS'!U8)/'Input Page-HUBS'!O38)</f>
        <v>-8.0337292161520129</v>
      </c>
      <c r="N54" s="84" t="str">
        <f>IFERROR('Input Page-HUBS'!O38/'Input Page-HUBS'!O16,"NM")</f>
        <v>NM</v>
      </c>
      <c r="O54" s="84" t="str">
        <f>IFERROR(('Input Page-HUBS'!O38-'Input Page-HUBS'!O50)/'Input Page-HUBS'!O16,"NM")</f>
        <v>NM</v>
      </c>
      <c r="P54" s="84" t="str">
        <f>IFERROR('Input Page-HUBS'!O15/'Input Page-HUBS'!O16,"NM")</f>
        <v>NM</v>
      </c>
      <c r="Q54" s="52" t="str">
        <f>'Input Page-HUBS'!G12</f>
        <v>NA</v>
      </c>
      <c r="R54" s="89" t="str">
        <f>'Input Page-HUBS'!G13</f>
        <v>NA</v>
      </c>
    </row>
    <row r="55" spans="3:18" x14ac:dyDescent="0.25">
      <c r="C55" s="95" t="s">
        <v>207</v>
      </c>
      <c r="D55" s="75"/>
      <c r="E55" s="75"/>
      <c r="F55" s="96">
        <f>IFERROR(AVERAGE(F53:F54),"NA")</f>
        <v>1.2050000000000001</v>
      </c>
      <c r="G55" s="77">
        <f t="shared" ref="G55:P55" si="12">IFERROR(AVERAGE(G53:G54),"NA")</f>
        <v>5.6926195605381855E-2</v>
      </c>
      <c r="H55" s="77">
        <f t="shared" si="12"/>
        <v>0.14229058958185883</v>
      </c>
      <c r="I55" s="77">
        <f t="shared" si="12"/>
        <v>5.0699842498534459E-2</v>
      </c>
      <c r="J55" s="77">
        <f t="shared" si="12"/>
        <v>5.3012048192771083E-3</v>
      </c>
      <c r="K55" s="77">
        <f t="shared" si="12"/>
        <v>0.26715636264707882</v>
      </c>
      <c r="L55" s="97">
        <f t="shared" si="12"/>
        <v>1.5700695499240547</v>
      </c>
      <c r="M55" s="97">
        <f t="shared" si="12"/>
        <v>-2.9199343978273857</v>
      </c>
      <c r="N55" s="97" t="str">
        <f t="shared" si="12"/>
        <v>NA</v>
      </c>
      <c r="O55" s="97" t="str">
        <f t="shared" si="12"/>
        <v>NA</v>
      </c>
      <c r="P55" s="97" t="str">
        <f t="shared" si="12"/>
        <v>NA</v>
      </c>
      <c r="Q55" s="75"/>
      <c r="R55" s="98"/>
    </row>
    <row r="56" spans="3:18" x14ac:dyDescent="0.25">
      <c r="C56" s="95" t="s">
        <v>208</v>
      </c>
      <c r="D56" s="75"/>
      <c r="E56" s="75"/>
      <c r="F56" s="96">
        <f>IFERROR(MEDIAN(F53:F54),"NA")</f>
        <v>1.2050000000000001</v>
      </c>
      <c r="G56" s="77">
        <f t="shared" ref="G56:P56" si="13">IFERROR(MEDIAN(G53:G54),"NA")</f>
        <v>5.6926195605381855E-2</v>
      </c>
      <c r="H56" s="77">
        <f t="shared" si="13"/>
        <v>0.14229058958185886</v>
      </c>
      <c r="I56" s="77">
        <f t="shared" si="13"/>
        <v>5.0699842498534459E-2</v>
      </c>
      <c r="J56" s="77">
        <f t="shared" si="13"/>
        <v>5.3012048192771083E-3</v>
      </c>
      <c r="K56" s="77">
        <f t="shared" si="13"/>
        <v>0.26715636264707882</v>
      </c>
      <c r="L56" s="97">
        <f t="shared" si="13"/>
        <v>1.5700695499240547</v>
      </c>
      <c r="M56" s="97">
        <f t="shared" si="13"/>
        <v>-2.9199343978273857</v>
      </c>
      <c r="N56" s="97" t="str">
        <f t="shared" si="13"/>
        <v>NA</v>
      </c>
      <c r="O56" s="97" t="str">
        <f t="shared" si="13"/>
        <v>NA</v>
      </c>
      <c r="P56" s="97" t="str">
        <f t="shared" si="13"/>
        <v>NA</v>
      </c>
      <c r="Q56" s="75"/>
      <c r="R56" s="98"/>
    </row>
    <row r="57" spans="3:18" x14ac:dyDescent="0.25">
      <c r="C57" s="87"/>
      <c r="D57" s="52"/>
      <c r="E57" s="52"/>
      <c r="F57" s="86"/>
      <c r="G57" s="54"/>
      <c r="H57" s="54"/>
      <c r="I57" s="54"/>
      <c r="J57" s="54"/>
      <c r="K57" s="54"/>
      <c r="L57" s="84"/>
      <c r="M57" s="84"/>
      <c r="N57" s="84"/>
      <c r="O57" s="84"/>
      <c r="P57" s="84"/>
      <c r="Q57" s="52"/>
      <c r="R57" s="89"/>
    </row>
    <row r="58" spans="3:18" x14ac:dyDescent="0.25">
      <c r="C58" s="214" t="s">
        <v>206</v>
      </c>
      <c r="D58" s="185"/>
      <c r="E58" s="185"/>
      <c r="F58" s="215"/>
      <c r="G58" s="187"/>
      <c r="H58" s="187"/>
      <c r="I58" s="187"/>
      <c r="J58" s="187"/>
      <c r="K58" s="187"/>
      <c r="L58" s="189"/>
      <c r="M58" s="189"/>
      <c r="N58" s="189"/>
      <c r="O58" s="189"/>
      <c r="P58" s="189"/>
      <c r="Q58" s="185"/>
      <c r="R58" s="216"/>
    </row>
    <row r="59" spans="3:18" x14ac:dyDescent="0.25">
      <c r="C59" s="87" t="str">
        <f>'Input Page-DOCU'!G8</f>
        <v>DocuSign, Inc.</v>
      </c>
      <c r="D59" s="52" t="str">
        <f>'Input Page-DOCU'!G9</f>
        <v>DOCU</v>
      </c>
      <c r="E59" s="52" t="str">
        <f>'Input Page-DOCU'!G11</f>
        <v>January 31</v>
      </c>
      <c r="F59" s="86">
        <f>'Input Page-DOCU'!G14</f>
        <v>0.9</v>
      </c>
      <c r="G59" s="54">
        <f>'Input Page-DOCU'!G46</f>
        <v>0.17093917623989818</v>
      </c>
      <c r="H59" s="54">
        <f>'Input Page-DOCU'!G47</f>
        <v>0.17310545694345197</v>
      </c>
      <c r="I59" s="54">
        <f>'Input Page-DOCU'!G48</f>
        <v>7.9066265060240851E-2</v>
      </c>
      <c r="J59" s="54">
        <f>IFERROR('Input Page-DOCU'!G49/'Input Page-DOCU'!G18,0)</f>
        <v>0</v>
      </c>
      <c r="K59" s="54">
        <f>'Input Page-DOCU'!G45</f>
        <v>0</v>
      </c>
      <c r="L59" s="84">
        <f>IF('Input Page-DOCU'!O38&lt;=0,"NM",'Input Page-DOCU'!U21/'Input Page-DOCU'!O38)</f>
        <v>0</v>
      </c>
      <c r="M59" s="84">
        <f>IF('Input Page-DOCU'!O38&lt;=0,"NM",('Input Page-DOCU'!U21-'Input Page-DOCU'!U8)/'Input Page-DOCU'!O38)</f>
        <v>-1.741976893453147</v>
      </c>
      <c r="N59" s="84" t="str">
        <f>IFERROR('Input Page-DOCU'!O38/'Input Page-DOCU'!O16,"NM")</f>
        <v>NM</v>
      </c>
      <c r="O59" s="84" t="str">
        <f>IFERROR(('Input Page-DOCU'!O38-'Input Page-DOCU'!O50)/'Input Page-DOCU'!O16,"NM")</f>
        <v>NM</v>
      </c>
      <c r="P59" s="84" t="str">
        <f>IFERROR('Input Page-DOCU'!O15/'Input Page-DOCU'!O16,"NM")</f>
        <v>NM</v>
      </c>
      <c r="Q59" s="52" t="str">
        <f>'Input Page-DOCU'!G12</f>
        <v>NA</v>
      </c>
      <c r="R59" s="89" t="str">
        <f>'Input Page-DOCU'!G13</f>
        <v>NA</v>
      </c>
    </row>
    <row r="60" spans="3:18" x14ac:dyDescent="0.25">
      <c r="C60" s="87" t="str">
        <f>'Input Page-DBX'!G8</f>
        <v>Dropbox, Inc.</v>
      </c>
      <c r="D60" s="52" t="str">
        <f>'Input Page-DBX'!G9</f>
        <v>DBX</v>
      </c>
      <c r="E60" s="52" t="str">
        <f>'Input Page-DBX'!G11</f>
        <v>December 31</v>
      </c>
      <c r="F60" s="86">
        <f>'Input Page-DBX'!G14</f>
        <v>0.66</v>
      </c>
      <c r="G60" s="54">
        <f>'Input Page-DBX'!G46</f>
        <v>0.40947974249860164</v>
      </c>
      <c r="H60" s="54" t="str">
        <f>'Input Page-DBX'!G47</f>
        <v>NM</v>
      </c>
      <c r="I60" s="54">
        <f>'Input Page-DBX'!G48</f>
        <v>0.15592728232538214</v>
      </c>
      <c r="J60" s="54">
        <f>IFERROR('Input Page-DBX'!G49/'Input Page-DBX'!G18,0)</f>
        <v>0</v>
      </c>
      <c r="K60" s="54" t="str">
        <f>'Input Page-DBX'!G45</f>
        <v>NM</v>
      </c>
      <c r="L60" s="84">
        <f>IF('Input Page-DBX'!O38&lt;=0,"NM",'Input Page-DBX'!U21/'Input Page-DBX'!O38)</f>
        <v>4.0345487148834405</v>
      </c>
      <c r="M60" s="84">
        <f>IF('Input Page-DBX'!O38&lt;=0,"NM",('Input Page-DBX'!U21-'Input Page-DBX'!U8)/'Input Page-DBX'!O38)</f>
        <v>2.4938433950986241</v>
      </c>
      <c r="N60" s="84">
        <f>IFERROR('Input Page-DBX'!O38/'Input Page-DBX'!O16,"NM")</f>
        <v>7.2549869904596749</v>
      </c>
      <c r="O60" s="84">
        <f>IFERROR(('Input Page-DBX'!O38-'Input Page-DBX'!O50)/'Input Page-DBX'!O16,"NM")</f>
        <v>7.0633130962706021</v>
      </c>
      <c r="P60" s="84">
        <f>IFERROR('Input Page-DBX'!O15/'Input Page-DBX'!O16,"NM")</f>
        <v>5.8811795316565529</v>
      </c>
      <c r="Q60" s="52" t="str">
        <f>'Input Page-DBX'!G12</f>
        <v>NA</v>
      </c>
      <c r="R60" s="89" t="str">
        <f>'Input Page-DBX'!G13</f>
        <v>NA</v>
      </c>
    </row>
    <row r="61" spans="3:18" x14ac:dyDescent="0.25">
      <c r="C61" s="95" t="s">
        <v>207</v>
      </c>
      <c r="D61" s="75"/>
      <c r="E61" s="75"/>
      <c r="F61" s="96">
        <f>IFERROR(AVERAGE(F59:F60),"NA")</f>
        <v>0.78</v>
      </c>
      <c r="G61" s="77">
        <f t="shared" ref="G61:P61" si="14">IFERROR(AVERAGE(G59:G60),"NA")</f>
        <v>0.29020945936924991</v>
      </c>
      <c r="H61" s="77">
        <f t="shared" si="14"/>
        <v>0.17310545694345197</v>
      </c>
      <c r="I61" s="77">
        <f t="shared" si="14"/>
        <v>0.1174967736928115</v>
      </c>
      <c r="J61" s="77">
        <f t="shared" si="14"/>
        <v>0</v>
      </c>
      <c r="K61" s="77">
        <f t="shared" si="14"/>
        <v>0</v>
      </c>
      <c r="L61" s="97">
        <f t="shared" si="14"/>
        <v>2.0172743574417202</v>
      </c>
      <c r="M61" s="97">
        <f t="shared" si="14"/>
        <v>0.37593325082273854</v>
      </c>
      <c r="N61" s="97">
        <f t="shared" si="14"/>
        <v>7.2549869904596749</v>
      </c>
      <c r="O61" s="97">
        <f t="shared" si="14"/>
        <v>7.0633130962706021</v>
      </c>
      <c r="P61" s="97">
        <f t="shared" si="14"/>
        <v>5.8811795316565529</v>
      </c>
      <c r="Q61" s="75"/>
      <c r="R61" s="98"/>
    </row>
    <row r="62" spans="3:18" x14ac:dyDescent="0.25">
      <c r="C62" s="95" t="s">
        <v>208</v>
      </c>
      <c r="D62" s="75"/>
      <c r="E62" s="75"/>
      <c r="F62" s="96">
        <f>IFERROR(MEDIAN(F59:F60),"NA")</f>
        <v>0.78</v>
      </c>
      <c r="G62" s="77">
        <f t="shared" ref="G62:P62" si="15">IFERROR(MEDIAN(G59:G60),"NA")</f>
        <v>0.29020945936924991</v>
      </c>
      <c r="H62" s="77">
        <f t="shared" si="15"/>
        <v>0.17310545694345197</v>
      </c>
      <c r="I62" s="77">
        <f t="shared" si="15"/>
        <v>0.1174967736928115</v>
      </c>
      <c r="J62" s="77">
        <f t="shared" si="15"/>
        <v>0</v>
      </c>
      <c r="K62" s="77">
        <f t="shared" si="15"/>
        <v>0</v>
      </c>
      <c r="L62" s="97">
        <f t="shared" si="15"/>
        <v>2.0172743574417202</v>
      </c>
      <c r="M62" s="97">
        <f t="shared" si="15"/>
        <v>0.37593325082273865</v>
      </c>
      <c r="N62" s="97">
        <f t="shared" si="15"/>
        <v>7.2549869904596749</v>
      </c>
      <c r="O62" s="97">
        <f t="shared" si="15"/>
        <v>7.0633130962706021</v>
      </c>
      <c r="P62" s="97">
        <f t="shared" si="15"/>
        <v>5.8811795316565529</v>
      </c>
      <c r="Q62" s="75"/>
      <c r="R62" s="98"/>
    </row>
    <row r="63" spans="3:18" x14ac:dyDescent="0.25">
      <c r="C63" s="87"/>
      <c r="D63" s="52"/>
      <c r="E63" s="52"/>
      <c r="F63" s="86"/>
      <c r="G63" s="54"/>
      <c r="H63" s="54"/>
      <c r="I63" s="54"/>
      <c r="J63" s="54"/>
      <c r="K63" s="54"/>
      <c r="L63" s="84"/>
      <c r="M63" s="84"/>
      <c r="N63" s="84"/>
      <c r="O63" s="84"/>
      <c r="P63" s="84"/>
      <c r="Q63" s="52"/>
      <c r="R63" s="89"/>
    </row>
    <row r="64" spans="3:18" x14ac:dyDescent="0.25">
      <c r="C64" s="88" t="s">
        <v>209</v>
      </c>
      <c r="D64" s="52"/>
      <c r="E64" s="52"/>
      <c r="F64" s="86"/>
      <c r="G64" s="54"/>
      <c r="H64" s="54"/>
      <c r="I64" s="54"/>
      <c r="J64" s="54"/>
      <c r="K64" s="54"/>
      <c r="L64" s="84"/>
      <c r="M64" s="84"/>
      <c r="N64" s="84"/>
      <c r="O64" s="84"/>
      <c r="P64" s="84"/>
      <c r="Q64" s="52"/>
      <c r="R64" s="89"/>
    </row>
    <row r="65" spans="3:18" x14ac:dyDescent="0.25">
      <c r="C65" s="95" t="s">
        <v>207</v>
      </c>
      <c r="D65" s="75"/>
      <c r="E65" s="75"/>
      <c r="F65" s="96">
        <f>IFERROR(AVERAGE(F47:F48,F53:F54,F59:F60),"NA")</f>
        <v>1.0733333333333333</v>
      </c>
      <c r="G65" s="77">
        <f t="shared" ref="G65:P65" si="16">IFERROR(AVERAGE(G47:G48,G53:G54,G59:G60),"NA")</f>
        <v>0.11011828715968254</v>
      </c>
      <c r="H65" s="77">
        <f t="shared" si="16"/>
        <v>9.1732643740361733E-2</v>
      </c>
      <c r="I65" s="77">
        <f t="shared" si="16"/>
        <v>2.7973558050412916E-2</v>
      </c>
      <c r="J65" s="77">
        <f t="shared" si="16"/>
        <v>1.7670682730923694E-3</v>
      </c>
      <c r="K65" s="77">
        <f t="shared" si="16"/>
        <v>0.1944154364551644</v>
      </c>
      <c r="L65" s="97">
        <f t="shared" si="16"/>
        <v>1.6732293095873849</v>
      </c>
      <c r="M65" s="97">
        <f t="shared" si="16"/>
        <v>-1.0599229156156784</v>
      </c>
      <c r="N65" s="97">
        <f t="shared" si="16"/>
        <v>7.2549869904596749</v>
      </c>
      <c r="O65" s="97">
        <f t="shared" si="16"/>
        <v>7.0633130962706021</v>
      </c>
      <c r="P65" s="97">
        <f t="shared" si="16"/>
        <v>5.8811795316565529</v>
      </c>
      <c r="Q65" s="75"/>
      <c r="R65" s="98"/>
    </row>
    <row r="66" spans="3:18" x14ac:dyDescent="0.25">
      <c r="C66" s="95" t="s">
        <v>208</v>
      </c>
      <c r="D66" s="75"/>
      <c r="E66" s="75"/>
      <c r="F66" s="96">
        <f>IFERROR(MEDIAN(F47:F48,F53:F54,F59:F60),"NA")</f>
        <v>1.165</v>
      </c>
      <c r="G66" s="77">
        <f t="shared" ref="G66:P66" si="17">IFERROR(MEDIAN(G47:G48,G53:G54,G59:G60),"NA")</f>
        <v>0.13201039011714055</v>
      </c>
      <c r="H66" s="77">
        <f t="shared" si="17"/>
        <v>0.17310545694345197</v>
      </c>
      <c r="I66" s="77">
        <f t="shared" si="17"/>
        <v>7.7136244641106549E-2</v>
      </c>
      <c r="J66" s="77">
        <f t="shared" si="17"/>
        <v>0</v>
      </c>
      <c r="K66" s="77">
        <f t="shared" si="17"/>
        <v>0</v>
      </c>
      <c r="L66" s="97">
        <f t="shared" si="17"/>
        <v>1.1914587332053743</v>
      </c>
      <c r="M66" s="97">
        <f t="shared" si="17"/>
        <v>-0.21161228406909788</v>
      </c>
      <c r="N66" s="97">
        <f t="shared" si="17"/>
        <v>7.2549869904596749</v>
      </c>
      <c r="O66" s="97">
        <f t="shared" si="17"/>
        <v>7.0633130962706021</v>
      </c>
      <c r="P66" s="97">
        <f t="shared" si="17"/>
        <v>5.8811795316565529</v>
      </c>
      <c r="Q66" s="75"/>
      <c r="R66" s="98"/>
    </row>
    <row r="67" spans="3:18" x14ac:dyDescent="0.25">
      <c r="C67" s="87"/>
      <c r="D67" s="52"/>
      <c r="E67" s="52"/>
      <c r="F67" s="86"/>
      <c r="G67" s="54"/>
      <c r="H67" s="54"/>
      <c r="I67" s="54"/>
      <c r="J67" s="54"/>
      <c r="K67" s="54"/>
      <c r="L67" s="84"/>
      <c r="M67" s="84"/>
      <c r="N67" s="84"/>
      <c r="O67" s="84"/>
      <c r="P67" s="84"/>
      <c r="Q67" s="52"/>
      <c r="R67" s="89"/>
    </row>
    <row r="68" spans="3:18" x14ac:dyDescent="0.25">
      <c r="C68" s="95" t="s">
        <v>210</v>
      </c>
      <c r="D68" s="75"/>
      <c r="E68" s="75"/>
      <c r="F68" s="96">
        <f>IFERROR(MAX(F47:F48,F53:F54,F59:F60),"NA")</f>
        <v>1.32</v>
      </c>
      <c r="G68" s="77">
        <f t="shared" ref="G68:P68" si="18">IFERROR(MAX(G47:G48,G53:G54,G59:G60),"NA")</f>
        <v>0.40947974249860164</v>
      </c>
      <c r="H68" s="77">
        <f t="shared" si="18"/>
        <v>0.4587645029789903</v>
      </c>
      <c r="I68" s="77">
        <f t="shared" si="18"/>
        <v>0.15592728232538214</v>
      </c>
      <c r="J68" s="77">
        <f t="shared" si="18"/>
        <v>1.0602409638554217E-2</v>
      </c>
      <c r="K68" s="77">
        <f t="shared" si="18"/>
        <v>0.53431272529415763</v>
      </c>
      <c r="L68" s="97">
        <f t="shared" si="18"/>
        <v>4.0345487148834405</v>
      </c>
      <c r="M68" s="97">
        <f t="shared" si="18"/>
        <v>2.4938433950986241</v>
      </c>
      <c r="N68" s="97">
        <f t="shared" si="18"/>
        <v>7.2549869904596749</v>
      </c>
      <c r="O68" s="97">
        <f t="shared" si="18"/>
        <v>7.0633130962706021</v>
      </c>
      <c r="P68" s="97">
        <f t="shared" si="18"/>
        <v>5.8811795316565529</v>
      </c>
      <c r="Q68" s="75"/>
      <c r="R68" s="98"/>
    </row>
    <row r="69" spans="3:18" x14ac:dyDescent="0.25">
      <c r="C69" s="99" t="s">
        <v>211</v>
      </c>
      <c r="D69" s="100"/>
      <c r="E69" s="100"/>
      <c r="F69" s="101">
        <f>IFERROR(MIN(F47:F48,F53:F54,F59:F60),"NA")</f>
        <v>0.66</v>
      </c>
      <c r="G69" s="102">
        <f t="shared" ref="G69:P69" si="19">IFERROR(MIN(G47:G48,G53:G54,G59:G60),"NA")</f>
        <v>-0.26671310912834584</v>
      </c>
      <c r="H69" s="102">
        <f t="shared" si="19"/>
        <v>-0.45778792038435129</v>
      </c>
      <c r="I69" s="102">
        <f t="shared" si="19"/>
        <v>-0.29116334904836727</v>
      </c>
      <c r="J69" s="102">
        <f t="shared" si="19"/>
        <v>0</v>
      </c>
      <c r="K69" s="102">
        <f t="shared" si="19"/>
        <v>0</v>
      </c>
      <c r="L69" s="103">
        <f t="shared" si="19"/>
        <v>0</v>
      </c>
      <c r="M69" s="103">
        <f t="shared" si="19"/>
        <v>-8.0337292161520129</v>
      </c>
      <c r="N69" s="103">
        <f t="shared" si="19"/>
        <v>7.2549869904596749</v>
      </c>
      <c r="O69" s="103">
        <f t="shared" si="19"/>
        <v>7.0633130962706021</v>
      </c>
      <c r="P69" s="103">
        <f t="shared" si="19"/>
        <v>5.8811795316565529</v>
      </c>
      <c r="Q69" s="100"/>
      <c r="R69" s="104"/>
    </row>
  </sheetData>
  <mergeCells count="28">
    <mergeCell ref="C38:R38"/>
    <mergeCell ref="C3:V3"/>
    <mergeCell ref="C4:V4"/>
    <mergeCell ref="C5:V5"/>
    <mergeCell ref="C7:C9"/>
    <mergeCell ref="D7:D9"/>
    <mergeCell ref="E7:F8"/>
    <mergeCell ref="G7:K8"/>
    <mergeCell ref="L7:O8"/>
    <mergeCell ref="P7:V7"/>
    <mergeCell ref="P8:Q8"/>
    <mergeCell ref="R8:S8"/>
    <mergeCell ref="T8:V8"/>
    <mergeCell ref="C12:V12"/>
    <mergeCell ref="C18:V18"/>
    <mergeCell ref="C24:V24"/>
    <mergeCell ref="C46:R46"/>
    <mergeCell ref="C52:R52"/>
    <mergeCell ref="C58:R58"/>
    <mergeCell ref="C39:R39"/>
    <mergeCell ref="C40:R40"/>
    <mergeCell ref="C42:C43"/>
    <mergeCell ref="D42:D43"/>
    <mergeCell ref="E42:F42"/>
    <mergeCell ref="G42:J42"/>
    <mergeCell ref="K42:M42"/>
    <mergeCell ref="N42:P42"/>
    <mergeCell ref="Q42:R42"/>
  </mergeCells>
  <printOptions horizontalCentered="1"/>
  <pageMargins left="0.5" right="0.5" top="0.6" bottom="0.6" header="0.3" footer="0.3"/>
  <pageSetup scale="63" fitToHeight="0" orientation="landscape" r:id="rId1"/>
  <headerFooter>
    <oddHeader>&amp;L&amp;"Times New Roman"&amp;9 Adobe Inc. (ADBE) — Trading Comparables&amp;R&amp;"Times New Roman"&amp;9&amp;A</oddHeader>
    <oddFooter>&amp;L&amp;"Times New Roman"&amp;8 Confidential&amp;C&amp;"Times New Roman"&amp;8 Page &amp;P of &amp;N&amp;R&amp;"Times New Roman"&amp;8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22802-5CB6-4E06-AA96-6C4BE8AD7B43}">
  <sheetPr>
    <pageSetUpPr fitToPage="1"/>
  </sheetPr>
  <dimension ref="C1:N51"/>
  <sheetViews>
    <sheetView showGridLines="0" tabSelected="1" topLeftCell="C38" workbookViewId="0">
      <selection activeCell="L19" sqref="L19"/>
    </sheetView>
  </sheetViews>
  <sheetFormatPr defaultRowHeight="13.8" x14ac:dyDescent="0.25"/>
  <cols>
    <col min="1" max="2" width="1.88671875" style="1" customWidth="1"/>
    <col min="3" max="3" width="56.21875" style="1" bestFit="1" customWidth="1"/>
    <col min="4" max="6" width="12.21875" style="1" customWidth="1"/>
    <col min="7" max="7" width="20.109375" style="1" bestFit="1" customWidth="1"/>
    <col min="8" max="11" width="12.21875" style="1" customWidth="1"/>
    <col min="12" max="16384" width="8.88671875" style="1"/>
  </cols>
  <sheetData>
    <row r="1" spans="3:14" ht="14.4" x14ac:dyDescent="0.3">
      <c r="N1"/>
    </row>
    <row r="2" spans="3:14" ht="14.4" x14ac:dyDescent="0.3">
      <c r="N2"/>
    </row>
    <row r="3" spans="3:14" ht="34.049999999999997" customHeight="1" x14ac:dyDescent="0.3">
      <c r="C3" s="192" t="s">
        <v>148</v>
      </c>
      <c r="D3" s="192"/>
      <c r="E3" s="192"/>
      <c r="F3" s="192"/>
      <c r="G3" s="192"/>
      <c r="H3" s="192"/>
      <c r="I3" s="192"/>
      <c r="J3" s="192"/>
      <c r="K3" s="192"/>
      <c r="N3"/>
    </row>
    <row r="4" spans="3:14" ht="19.95" customHeight="1" x14ac:dyDescent="0.3">
      <c r="C4" s="193" t="s">
        <v>246</v>
      </c>
      <c r="D4" s="193"/>
      <c r="E4" s="193"/>
      <c r="F4" s="193"/>
      <c r="G4" s="193"/>
      <c r="H4" s="193"/>
      <c r="I4" s="193"/>
      <c r="J4" s="193"/>
      <c r="K4" s="193"/>
      <c r="N4"/>
    </row>
    <row r="5" spans="3:14" ht="16.05" customHeight="1" x14ac:dyDescent="0.25">
      <c r="C5" s="194" t="s">
        <v>287</v>
      </c>
      <c r="D5" s="194"/>
      <c r="E5" s="194"/>
      <c r="F5" s="194"/>
      <c r="G5" s="194"/>
      <c r="H5" s="194"/>
      <c r="I5" s="194"/>
      <c r="J5" s="194"/>
      <c r="K5" s="194"/>
    </row>
    <row r="7" spans="3:14" x14ac:dyDescent="0.25">
      <c r="C7" s="264" t="s">
        <v>247</v>
      </c>
      <c r="D7" s="264"/>
      <c r="E7" s="265"/>
      <c r="F7" s="265"/>
      <c r="G7" s="265"/>
      <c r="H7" s="265"/>
      <c r="I7" s="265"/>
      <c r="J7" s="265"/>
      <c r="K7" s="265"/>
    </row>
    <row r="8" spans="3:14" x14ac:dyDescent="0.25">
      <c r="C8" s="168" t="s">
        <v>249</v>
      </c>
      <c r="D8" s="162">
        <f>'Input Page-ADBE'!O38</f>
        <v>9849</v>
      </c>
      <c r="E8" s="52"/>
      <c r="F8" s="52"/>
      <c r="G8" s="52"/>
      <c r="H8" s="52"/>
      <c r="I8" s="52"/>
      <c r="J8" s="52"/>
      <c r="K8" s="52"/>
    </row>
    <row r="9" spans="3:14" x14ac:dyDescent="0.25">
      <c r="C9" s="62" t="s">
        <v>250</v>
      </c>
      <c r="D9" s="163">
        <f>'Input Page-ADBE'!O22</f>
        <v>7229</v>
      </c>
      <c r="E9" s="52"/>
      <c r="F9" s="52"/>
      <c r="G9" s="52"/>
      <c r="H9" s="52"/>
      <c r="I9" s="52"/>
      <c r="J9" s="52"/>
      <c r="K9" s="52"/>
    </row>
    <row r="10" spans="3:14" x14ac:dyDescent="0.25">
      <c r="C10" s="62" t="s">
        <v>251</v>
      </c>
      <c r="D10" s="164">
        <f>'Input Page-ADBE'!O25</f>
        <v>17.761670761670761</v>
      </c>
      <c r="E10" s="52"/>
      <c r="F10" s="52"/>
      <c r="G10" s="52"/>
      <c r="H10" s="52"/>
      <c r="I10" s="52"/>
      <c r="J10" s="52"/>
      <c r="K10" s="52"/>
    </row>
    <row r="11" spans="3:14" x14ac:dyDescent="0.25">
      <c r="C11" s="62" t="s">
        <v>18</v>
      </c>
      <c r="D11" s="163">
        <f>'Input Page-ADBE'!G22</f>
        <v>399</v>
      </c>
      <c r="E11" s="52"/>
      <c r="F11" s="52"/>
      <c r="G11" s="52"/>
      <c r="H11" s="52"/>
      <c r="I11" s="52"/>
      <c r="J11" s="52"/>
      <c r="K11" s="52"/>
    </row>
    <row r="12" spans="3:14" x14ac:dyDescent="0.25">
      <c r="C12" s="62" t="s">
        <v>107</v>
      </c>
      <c r="D12" s="163">
        <f>'Input Page-ADBE'!U21</f>
        <v>6645</v>
      </c>
      <c r="E12" s="52"/>
      <c r="F12" s="52"/>
      <c r="G12" s="52"/>
      <c r="H12" s="52"/>
      <c r="I12" s="52"/>
      <c r="J12" s="52"/>
      <c r="K12" s="52"/>
    </row>
    <row r="13" spans="3:14" x14ac:dyDescent="0.25">
      <c r="C13" s="62" t="s">
        <v>252</v>
      </c>
      <c r="D13" s="165">
        <f>'Input Page-ADBE'!U8</f>
        <v>5626</v>
      </c>
      <c r="E13" s="52"/>
      <c r="F13" s="52"/>
      <c r="G13" s="52"/>
      <c r="H13" s="52"/>
      <c r="I13" s="52"/>
      <c r="J13" s="52"/>
      <c r="K13" s="52"/>
    </row>
    <row r="14" spans="3:14" x14ac:dyDescent="0.25">
      <c r="C14" s="63" t="s">
        <v>253</v>
      </c>
      <c r="D14" s="166">
        <f>D12-D13</f>
        <v>1019</v>
      </c>
      <c r="E14" s="52"/>
      <c r="F14" s="52"/>
      <c r="G14" s="52"/>
      <c r="H14" s="52"/>
      <c r="I14" s="52"/>
      <c r="J14" s="52"/>
      <c r="K14" s="52"/>
    </row>
    <row r="15" spans="3:14" x14ac:dyDescent="0.25">
      <c r="C15" s="62" t="s">
        <v>233</v>
      </c>
      <c r="D15" s="164">
        <f>'Input Page-ADBE'!G18</f>
        <v>218</v>
      </c>
      <c r="E15" s="52"/>
      <c r="F15" s="52"/>
      <c r="G15" s="52"/>
      <c r="H15" s="52"/>
      <c r="I15" s="52"/>
      <c r="J15" s="52"/>
      <c r="K15" s="52"/>
    </row>
    <row r="16" spans="3:14" x14ac:dyDescent="0.25">
      <c r="C16" s="62" t="s">
        <v>254</v>
      </c>
      <c r="D16" s="163">
        <f>'Input Page-ADBE'!G23</f>
        <v>86982</v>
      </c>
      <c r="E16" s="52"/>
      <c r="F16" s="52"/>
      <c r="G16" s="52"/>
      <c r="H16" s="52"/>
      <c r="I16" s="52"/>
      <c r="J16" s="52"/>
      <c r="K16" s="52"/>
    </row>
    <row r="17" spans="3:11" x14ac:dyDescent="0.25">
      <c r="C17" s="169" t="s">
        <v>255</v>
      </c>
      <c r="D17" s="167">
        <f>'Input Page-ADBE'!G28</f>
        <v>88001</v>
      </c>
      <c r="E17" s="52"/>
      <c r="F17" s="52"/>
      <c r="G17" s="52"/>
      <c r="H17" s="52"/>
      <c r="I17" s="52"/>
      <c r="J17" s="52"/>
      <c r="K17" s="52"/>
    </row>
    <row r="18" spans="3:11" x14ac:dyDescent="0.25">
      <c r="C18" s="55"/>
      <c r="D18" s="52"/>
      <c r="E18" s="52"/>
      <c r="F18" s="52"/>
      <c r="G18" s="52"/>
      <c r="H18" s="52"/>
      <c r="I18" s="52"/>
      <c r="J18" s="52"/>
      <c r="K18" s="52"/>
    </row>
    <row r="19" spans="3:11" x14ac:dyDescent="0.25">
      <c r="C19" s="264" t="s">
        <v>277</v>
      </c>
      <c r="D19" s="264"/>
      <c r="E19" s="264"/>
      <c r="F19" s="264"/>
      <c r="G19" s="265"/>
      <c r="H19" s="265"/>
      <c r="I19" s="265"/>
      <c r="J19" s="265"/>
      <c r="K19" s="265"/>
    </row>
    <row r="20" spans="3:11" ht="23.4" customHeight="1" x14ac:dyDescent="0.3">
      <c r="C20" s="151"/>
      <c r="D20" s="147" t="s">
        <v>279</v>
      </c>
      <c r="E20" s="147" t="s">
        <v>280</v>
      </c>
      <c r="F20" s="153" t="s">
        <v>256</v>
      </c>
      <c r="G20" s="2"/>
      <c r="H20" s="281" t="s">
        <v>295</v>
      </c>
      <c r="I20" s="282"/>
      <c r="J20" s="2"/>
      <c r="K20" s="2"/>
    </row>
    <row r="21" spans="3:11" ht="14.4" x14ac:dyDescent="0.3">
      <c r="C21" s="144" t="s">
        <v>257</v>
      </c>
      <c r="D21" s="148">
        <f>MEDIAN('Input Page-ADSK'!D35,'Input Page-FIG'!D35)</f>
        <v>21.455374280230327</v>
      </c>
      <c r="E21" s="148">
        <f>MEDIAN('Input Page-ADSK'!D39,'Input Page-FIG'!D39)</f>
        <v>31.302802460697201</v>
      </c>
      <c r="F21" s="154">
        <v>0.6</v>
      </c>
      <c r="G21"/>
      <c r="H21" s="283">
        <v>50</v>
      </c>
      <c r="I21" s="284"/>
      <c r="J21" s="2"/>
      <c r="K21" s="2"/>
    </row>
    <row r="22" spans="3:11" x14ac:dyDescent="0.25">
      <c r="C22" s="144" t="s">
        <v>258</v>
      </c>
      <c r="D22" s="148">
        <f>MEDIAN('Input Page-CRM'!D35,'Input Page-HUBS'!D35)</f>
        <v>28.175437504474196</v>
      </c>
      <c r="E22" s="148">
        <f>MEDIAN('Input Page-CRM'!D39,'Input Page-HUBS'!D39)</f>
        <v>18.021438364701481</v>
      </c>
      <c r="F22" s="154">
        <v>0.25</v>
      </c>
      <c r="G22" s="2"/>
      <c r="H22" s="2"/>
      <c r="I22" s="2"/>
      <c r="J22" s="2"/>
      <c r="K22" s="2"/>
    </row>
    <row r="23" spans="3:11" x14ac:dyDescent="0.25">
      <c r="C23" s="144" t="s">
        <v>259</v>
      </c>
      <c r="D23" s="148">
        <f>MEDIAN('Input Page-DOCU'!D35,'Input Page-DBX'!D35)</f>
        <v>14.435187954578769</v>
      </c>
      <c r="E23" s="148">
        <f>MEDIAN('Input Page-DOCU'!D39,'Input Page-DBX'!D39)</f>
        <v>21.939173619087931</v>
      </c>
      <c r="F23" s="154">
        <v>0.15</v>
      </c>
      <c r="G23" s="2"/>
      <c r="H23" s="2"/>
      <c r="I23" s="2"/>
      <c r="J23" s="2"/>
      <c r="K23" s="2"/>
    </row>
    <row r="24" spans="3:11" x14ac:dyDescent="0.25">
      <c r="C24" s="145" t="s">
        <v>260</v>
      </c>
      <c r="D24" s="149">
        <f>SUMPRODUCT(D21:D23,$F$21:$F$23)/SUM($F$21:$F$23)</f>
        <v>22.08236213744356</v>
      </c>
      <c r="E24" s="149">
        <f>SUMPRODUCT(E21:E23,$F$21:$F$23)/SUM($F$21:$F$23)</f>
        <v>26.57791711045688</v>
      </c>
      <c r="F24" s="155">
        <f>SUM(F21:F23)</f>
        <v>1</v>
      </c>
      <c r="G24" s="2"/>
      <c r="H24" s="2"/>
      <c r="I24" s="2"/>
      <c r="J24" s="2"/>
      <c r="K24" s="2"/>
    </row>
    <row r="25" spans="3:11" x14ac:dyDescent="0.25">
      <c r="C25" s="152" t="s">
        <v>281</v>
      </c>
      <c r="D25" s="150">
        <f>MEDIAN('Input Page-ADSK'!D35,'Input Page-FIG'!D35,'Input Page-CRM'!D35,'Input Page-HUBS'!D35,'Input Page-DOCU'!D35,'Input Page-DBX'!D35)</f>
        <v>18.168164313222096</v>
      </c>
      <c r="E25" s="150">
        <f>MEDIAN('Input Page-ADSK'!D39,'Input Page-FIG'!D39,'Input Page-CRM'!D39,'Input Page-HUBS'!D39,'Input Page-DOCU'!D39,'Input Page-DBX'!D39)</f>
        <v>23.67024299187457</v>
      </c>
      <c r="F25" s="156"/>
      <c r="G25" s="2"/>
      <c r="H25" s="2"/>
      <c r="I25" s="2"/>
      <c r="J25" s="2"/>
      <c r="K25" s="2"/>
    </row>
    <row r="26" spans="3:11" x14ac:dyDescent="0.25">
      <c r="C26" s="2"/>
      <c r="D26" s="2"/>
      <c r="E26" s="2"/>
      <c r="F26" s="2"/>
      <c r="G26" s="2"/>
      <c r="H26" s="2"/>
      <c r="I26" s="2"/>
      <c r="J26" s="2"/>
      <c r="K26" s="2"/>
    </row>
    <row r="27" spans="3:11" x14ac:dyDescent="0.25">
      <c r="C27" s="228" t="s">
        <v>278</v>
      </c>
      <c r="D27" s="228"/>
      <c r="E27" s="228"/>
      <c r="F27" s="228"/>
      <c r="G27" s="228"/>
      <c r="H27" s="228"/>
      <c r="I27" s="228"/>
      <c r="J27" s="228"/>
      <c r="K27" s="228"/>
    </row>
    <row r="28" spans="3:11" ht="23.4" x14ac:dyDescent="0.25">
      <c r="C28" s="151" t="s">
        <v>261</v>
      </c>
      <c r="D28" s="147" t="s">
        <v>262</v>
      </c>
      <c r="E28" s="147" t="s">
        <v>263</v>
      </c>
      <c r="F28" s="147" t="s">
        <v>264</v>
      </c>
      <c r="G28" s="147" t="s">
        <v>253</v>
      </c>
      <c r="H28" s="147" t="s">
        <v>265</v>
      </c>
      <c r="I28" s="147" t="s">
        <v>266</v>
      </c>
      <c r="J28" s="147" t="s">
        <v>267</v>
      </c>
      <c r="K28" s="153" t="s">
        <v>268</v>
      </c>
    </row>
    <row r="29" spans="3:11" x14ac:dyDescent="0.25">
      <c r="C29" s="144" t="s">
        <v>269</v>
      </c>
      <c r="D29" s="148">
        <f>D24</f>
        <v>22.08236213744356</v>
      </c>
      <c r="E29" s="48">
        <f>$D$8</f>
        <v>9849</v>
      </c>
      <c r="F29" s="48">
        <f>D29*E29</f>
        <v>217489.18469168161</v>
      </c>
      <c r="G29" s="48">
        <f>$D$14</f>
        <v>1019</v>
      </c>
      <c r="H29" s="48">
        <f>F29-G29</f>
        <v>216470.18469168161</v>
      </c>
      <c r="I29" s="48">
        <f>$D$11</f>
        <v>399</v>
      </c>
      <c r="J29" s="157">
        <f>H29/I29</f>
        <v>542.53179120722211</v>
      </c>
      <c r="K29" s="160">
        <f>J29/$D$15-1</f>
        <v>1.4886779413175328</v>
      </c>
    </row>
    <row r="30" spans="3:11" x14ac:dyDescent="0.25">
      <c r="C30" s="144" t="s">
        <v>270</v>
      </c>
      <c r="D30" s="148">
        <f>D25</f>
        <v>18.168164313222096</v>
      </c>
      <c r="E30" s="48">
        <f>$D$8</f>
        <v>9849</v>
      </c>
      <c r="F30" s="48">
        <f>D30*E30</f>
        <v>178938.25032092442</v>
      </c>
      <c r="G30" s="48">
        <f>$D$14</f>
        <v>1019</v>
      </c>
      <c r="H30" s="48">
        <f>F30-G30</f>
        <v>177919.25032092442</v>
      </c>
      <c r="I30" s="48">
        <f>$D$11</f>
        <v>399</v>
      </c>
      <c r="J30" s="157">
        <f>H30/I30</f>
        <v>445.91290807249226</v>
      </c>
      <c r="K30" s="160">
        <f>J30/$D$15-1</f>
        <v>1.0454720553784047</v>
      </c>
    </row>
    <row r="31" spans="3:11" x14ac:dyDescent="0.25">
      <c r="C31" s="144" t="s">
        <v>271</v>
      </c>
      <c r="D31" s="148">
        <f>E24</f>
        <v>26.57791711045688</v>
      </c>
      <c r="E31" s="48">
        <f>$D$9</f>
        <v>7229</v>
      </c>
      <c r="F31" s="48">
        <f>H31+G31</f>
        <v>193150.7627914928</v>
      </c>
      <c r="G31" s="48">
        <f>$D$14</f>
        <v>1019</v>
      </c>
      <c r="H31" s="48">
        <f>D31*E31</f>
        <v>192131.7627914928</v>
      </c>
      <c r="I31" s="48">
        <f>$D$11</f>
        <v>399</v>
      </c>
      <c r="J31" s="157">
        <f>H31/I31</f>
        <v>481.53324007892934</v>
      </c>
      <c r="K31" s="160">
        <f>J31/$D$15-1</f>
        <v>1.2088680737565567</v>
      </c>
    </row>
    <row r="32" spans="3:11" x14ac:dyDescent="0.25">
      <c r="C32" s="146" t="s">
        <v>272</v>
      </c>
      <c r="D32" s="158">
        <f>E25</f>
        <v>23.67024299187457</v>
      </c>
      <c r="E32" s="143">
        <f>$D$9</f>
        <v>7229</v>
      </c>
      <c r="F32" s="143">
        <f>H32+G32</f>
        <v>172131.18658826128</v>
      </c>
      <c r="G32" s="143">
        <f>$D$14</f>
        <v>1019</v>
      </c>
      <c r="H32" s="143">
        <f>D32*E32</f>
        <v>171112.18658826128</v>
      </c>
      <c r="I32" s="143">
        <f>$D$11</f>
        <v>399</v>
      </c>
      <c r="J32" s="159">
        <f>H32/I32</f>
        <v>428.8525979655671</v>
      </c>
      <c r="K32" s="161">
        <f>J32/$D$15-1</f>
        <v>0.96721375213562899</v>
      </c>
    </row>
    <row r="33" spans="3:11" x14ac:dyDescent="0.25">
      <c r="C33" s="2"/>
      <c r="D33" s="2"/>
      <c r="E33" s="2"/>
      <c r="F33" s="2"/>
      <c r="G33" s="2"/>
      <c r="H33" s="2"/>
      <c r="I33" s="2"/>
      <c r="J33" s="2"/>
      <c r="K33" s="2"/>
    </row>
    <row r="34" spans="3:11" x14ac:dyDescent="0.25">
      <c r="C34" s="2"/>
      <c r="D34" s="2"/>
      <c r="E34" s="2"/>
      <c r="F34" s="2"/>
      <c r="G34" s="2"/>
      <c r="H34" s="2"/>
      <c r="I34" s="2"/>
      <c r="J34" s="2"/>
      <c r="K34" s="2"/>
    </row>
    <row r="35" spans="3:11" x14ac:dyDescent="0.25">
      <c r="C35" s="273" t="s">
        <v>248</v>
      </c>
      <c r="D35" s="274"/>
      <c r="E35" s="274"/>
      <c r="F35" s="275"/>
      <c r="G35" s="277"/>
      <c r="H35" s="263"/>
      <c r="I35" s="263"/>
      <c r="J35" s="263"/>
      <c r="K35" s="263"/>
    </row>
    <row r="36" spans="3:11" x14ac:dyDescent="0.25">
      <c r="C36" s="151" t="s">
        <v>273</v>
      </c>
      <c r="D36" s="147" t="s">
        <v>274</v>
      </c>
      <c r="E36" s="147" t="s">
        <v>275</v>
      </c>
      <c r="F36" s="272" t="s">
        <v>276</v>
      </c>
      <c r="G36" s="278" t="s">
        <v>288</v>
      </c>
      <c r="H36" s="2"/>
      <c r="I36" s="2"/>
      <c r="J36" s="2"/>
      <c r="K36" s="2"/>
    </row>
    <row r="37" spans="3:11" x14ac:dyDescent="0.25">
      <c r="C37" s="144" t="str">
        <f>"Current Share Price   ($"&amp;TEXT($D$15,"[$-409]#,##0")&amp;")"</f>
        <v>Current Share Price   ($218)</v>
      </c>
      <c r="D37" s="271">
        <f>$D$15</f>
        <v>218</v>
      </c>
      <c r="E37" s="276">
        <v>6</v>
      </c>
      <c r="F37" s="271">
        <f>$D$15</f>
        <v>218</v>
      </c>
      <c r="G37" s="279">
        <f>AVERAGE(D37,F37)</f>
        <v>218</v>
      </c>
      <c r="H37" s="2"/>
      <c r="I37" s="2"/>
      <c r="J37" s="2"/>
      <c r="K37" s="2"/>
    </row>
    <row r="38" spans="3:11" x14ac:dyDescent="0.25">
      <c r="C38" s="144" t="str">
        <f>"52-Week Trading Range   ($"&amp;TEXT(D38,"[$-409]#,##0")&amp;" – $"&amp;TEXT(F38,"[$-409]#,##0")&amp;")"</f>
        <v>52-Week Trading Range   ($190 – $387)</v>
      </c>
      <c r="D38" s="271">
        <f>'Input Page-ADBE'!G20</f>
        <v>190.12</v>
      </c>
      <c r="E38" s="276">
        <f>F38-D38</f>
        <v>196.48000000000002</v>
      </c>
      <c r="F38" s="271">
        <f>'Input Page-ADBE'!G19</f>
        <v>386.6</v>
      </c>
      <c r="G38" s="279">
        <f>AVERAGE(D38,F38)</f>
        <v>288.36</v>
      </c>
      <c r="H38" s="2"/>
      <c r="I38" s="2"/>
      <c r="J38" s="2"/>
      <c r="K38" s="2"/>
    </row>
    <row r="39" spans="3:11" x14ac:dyDescent="0.25">
      <c r="C39" s="144" t="str">
        <f>"EV / EBITDA — Comps Median   ($"&amp;TEXT(D39,"[$-409]#,##0")&amp;" – $"&amp;TEXT(F39,"[$-409]#,##0")&amp;")"</f>
        <v>EV / EBITDA — Comps Median   ($446 – $543)</v>
      </c>
      <c r="D39" s="271">
        <f>MIN(J29:J30)</f>
        <v>445.91290807249226</v>
      </c>
      <c r="E39" s="276">
        <f>MAX(F39-D39,6)</f>
        <v>96.618883134729856</v>
      </c>
      <c r="F39" s="271">
        <f>MAX(J29:J30)</f>
        <v>542.53179120722211</v>
      </c>
      <c r="G39" s="279">
        <f>AVERAGE(D39,F39)</f>
        <v>494.22234963985716</v>
      </c>
      <c r="H39" s="2"/>
      <c r="I39" s="2"/>
      <c r="J39" s="2"/>
      <c r="K39" s="2"/>
    </row>
    <row r="40" spans="3:11" x14ac:dyDescent="0.25">
      <c r="C40" s="144" t="str">
        <f>"P / E — Comps Median   ($"&amp;TEXT(D40,"[$-409]#,##0")&amp;" – $"&amp;TEXT(F40,"[$-409]#,##0")&amp;")"</f>
        <v>P / E — Comps Median   ($429 – $482)</v>
      </c>
      <c r="D40" s="271">
        <f>MIN(J31:J32)</f>
        <v>428.8525979655671</v>
      </c>
      <c r="E40" s="276">
        <f>MAX(F40-D40,6)</f>
        <v>52.680642113362239</v>
      </c>
      <c r="F40" s="271">
        <f>MAX(J31:J32)</f>
        <v>481.53324007892934</v>
      </c>
      <c r="G40" s="279">
        <f>AVERAGE(D40,F40)</f>
        <v>455.19291902224825</v>
      </c>
      <c r="H40" s="2"/>
      <c r="I40" s="2"/>
      <c r="J40" s="2"/>
      <c r="K40" s="2"/>
    </row>
    <row r="41" spans="3:11" x14ac:dyDescent="0.25">
      <c r="C41" s="152" t="str">
        <f>"DEFINITIVE VALUATION RANGE   ($"&amp;TEXT(D41,"[$-409]#,##0")&amp;" – $"&amp;TEXT(F41,"[$-409]#,##0")&amp;"  |  Mid $"&amp;TEXT(G41,"[$-409]#,##0")&amp;")"</f>
        <v>DEFINITIVE VALUATION RANGE   ($446 – $482  |  Mid $464)</v>
      </c>
      <c r="D41" s="170">
        <f>MAX(D39,D40)</f>
        <v>445.91290807249226</v>
      </c>
      <c r="E41" s="171">
        <f>F41-D41</f>
        <v>35.620332006437081</v>
      </c>
      <c r="F41" s="170">
        <f>MIN(F39,F40)</f>
        <v>481.53324007892934</v>
      </c>
      <c r="G41" s="280">
        <f>AVERAGE(D41,F41)</f>
        <v>463.72307407571077</v>
      </c>
      <c r="H41" s="2"/>
      <c r="I41" s="2"/>
      <c r="J41" s="2"/>
      <c r="K41" s="2"/>
    </row>
    <row r="42" spans="3:11" x14ac:dyDescent="0.25">
      <c r="C42" s="2"/>
      <c r="D42" s="2"/>
      <c r="E42" s="2"/>
      <c r="F42" s="2"/>
      <c r="G42" s="2"/>
      <c r="H42" s="2"/>
      <c r="I42" s="2"/>
      <c r="J42" s="2"/>
      <c r="K42" s="2"/>
    </row>
    <row r="43" spans="3:11" ht="24" customHeight="1" x14ac:dyDescent="0.25">
      <c r="C43" s="229" t="str">
        <f>"Definitive Valuation Range:  $"&amp;TEXT(D41,"#,##0")&amp;" – $"&amp;TEXT(F41,"#,##0")&amp;" per share  (Midpoint: $"&amp;TEXT(G41,"#,##0")&amp;")    |    Implied Market Cap:  $"&amp;TEXT(D41*$D$11/1000,"#,##0.0")&amp;"B – $"&amp;TEXT(F41*$D$11/1000,"#,##0.0")&amp;"B    |    Implied EV:  $"&amp;TEXT((D41*$D$11+$D$14)/1000,"#,##0.0")&amp;"B – $"&amp;TEXT((F41*$D$11+$D$14)/1000,"#,##0.0")&amp;"B"</f>
        <v>Definitive Valuation Range:  $446 – $482 per share  (Midpoint: $464)    |    Implied Market Cap:  $177.9B – $192.1B    |    Implied EV:  $178.9B – $193.2B</v>
      </c>
      <c r="D43" s="229"/>
      <c r="E43" s="229"/>
      <c r="F43" s="229"/>
      <c r="G43" s="229"/>
      <c r="H43" s="229"/>
      <c r="I43" s="229"/>
      <c r="J43" s="229"/>
      <c r="K43" s="229"/>
    </row>
    <row r="44" spans="3:11" x14ac:dyDescent="0.25">
      <c r="C44" s="2"/>
      <c r="D44" s="2"/>
      <c r="E44" s="2"/>
      <c r="F44" s="2"/>
      <c r="G44" s="2"/>
      <c r="H44" s="2"/>
      <c r="I44" s="2"/>
      <c r="J44" s="2"/>
      <c r="K44" s="2"/>
    </row>
    <row r="45" spans="3:11" x14ac:dyDescent="0.25">
      <c r="C45" s="267" t="s">
        <v>289</v>
      </c>
      <c r="D45" s="2"/>
      <c r="E45" s="2"/>
      <c r="F45" s="2"/>
      <c r="G45" s="2"/>
      <c r="H45" s="268" t="s">
        <v>290</v>
      </c>
      <c r="I45" s="269">
        <v>6</v>
      </c>
      <c r="J45" s="2"/>
      <c r="K45" s="2"/>
    </row>
    <row r="46" spans="3:11" x14ac:dyDescent="0.25">
      <c r="D46" s="270" t="s">
        <v>291</v>
      </c>
      <c r="E46" s="270" t="s">
        <v>292</v>
      </c>
      <c r="F46" s="270" t="s">
        <v>293</v>
      </c>
      <c r="G46" s="270" t="s">
        <v>294</v>
      </c>
    </row>
    <row r="47" spans="3:11" x14ac:dyDescent="0.25">
      <c r="C47" s="1" t="str">
        <f>C37</f>
        <v>Current Share Price   ($218)</v>
      </c>
      <c r="D47" s="1">
        <f>IF(F37-D37&lt;=$I$45,G37-$I$45/2,D37)</f>
        <v>215</v>
      </c>
      <c r="E47" s="1">
        <f>MAX(0,G37-D37-$I$45/2)</f>
        <v>0</v>
      </c>
      <c r="F47" s="1">
        <f>$I$45</f>
        <v>6</v>
      </c>
      <c r="G47" s="1">
        <f>MAX(0,F37-G37-$I$45/2)</f>
        <v>0</v>
      </c>
    </row>
    <row r="48" spans="3:11" x14ac:dyDescent="0.25">
      <c r="C48" s="1" t="str">
        <f t="shared" ref="C48:C51" si="0">C38</f>
        <v>52-Week Trading Range   ($190 – $387)</v>
      </c>
      <c r="D48" s="1">
        <f t="shared" ref="D48:D51" si="1">IF(F38-D38&lt;=$I$45,G38-$I$45/2,D38)</f>
        <v>190.12</v>
      </c>
      <c r="E48" s="1">
        <f t="shared" ref="E48:E51" si="2">MAX(0,G38-D38-$I$45/2)</f>
        <v>95.240000000000009</v>
      </c>
      <c r="F48" s="1">
        <f t="shared" ref="F48:F51" si="3">$I$45</f>
        <v>6</v>
      </c>
      <c r="G48" s="1">
        <f t="shared" ref="G48:G51" si="4">MAX(0,F38-G38-$I$45/2)</f>
        <v>95.240000000000009</v>
      </c>
    </row>
    <row r="49" spans="3:7" x14ac:dyDescent="0.25">
      <c r="C49" s="1" t="str">
        <f t="shared" si="0"/>
        <v>EV / EBITDA — Comps Median   ($446 – $543)</v>
      </c>
      <c r="D49" s="1">
        <f t="shared" si="1"/>
        <v>445.91290807249226</v>
      </c>
      <c r="E49" s="1">
        <f t="shared" si="2"/>
        <v>45.3094415673649</v>
      </c>
      <c r="F49" s="1">
        <f t="shared" si="3"/>
        <v>6</v>
      </c>
      <c r="G49" s="1">
        <f t="shared" si="4"/>
        <v>45.309441567364956</v>
      </c>
    </row>
    <row r="50" spans="3:7" x14ac:dyDescent="0.25">
      <c r="C50" s="1" t="str">
        <f t="shared" si="0"/>
        <v>P / E — Comps Median   ($429 – $482)</v>
      </c>
      <c r="D50" s="1">
        <f t="shared" si="1"/>
        <v>428.8525979655671</v>
      </c>
      <c r="E50" s="1">
        <f t="shared" si="2"/>
        <v>23.340321056681148</v>
      </c>
      <c r="F50" s="1">
        <f t="shared" si="3"/>
        <v>6</v>
      </c>
      <c r="G50" s="1">
        <f t="shared" si="4"/>
        <v>23.340321056681091</v>
      </c>
    </row>
    <row r="51" spans="3:7" x14ac:dyDescent="0.25">
      <c r="C51" s="1" t="str">
        <f t="shared" si="0"/>
        <v>DEFINITIVE VALUATION RANGE   ($446 – $482  |  Mid $464)</v>
      </c>
      <c r="D51" s="1">
        <f t="shared" si="1"/>
        <v>445.91290807249226</v>
      </c>
      <c r="E51" s="1">
        <f t="shared" si="2"/>
        <v>14.810166003218512</v>
      </c>
      <c r="F51" s="1">
        <f t="shared" si="3"/>
        <v>6</v>
      </c>
      <c r="G51" s="1">
        <f t="shared" si="4"/>
        <v>14.810166003218569</v>
      </c>
    </row>
  </sheetData>
  <mergeCells count="6">
    <mergeCell ref="C43:K43"/>
    <mergeCell ref="C3:K3"/>
    <mergeCell ref="C4:K4"/>
    <mergeCell ref="C5:K5"/>
    <mergeCell ref="C27:K27"/>
    <mergeCell ref="H20:I20"/>
  </mergeCells>
  <printOptions horizontalCentered="1"/>
  <pageMargins left="0.5" right="0.5" top="0.6" bottom="0.6" header="0.3" footer="0.3"/>
  <pageSetup scale="59" fitToHeight="0" orientation="portrait" r:id="rId1"/>
  <headerFooter>
    <oddHeader>&amp;L&amp;"Times New Roman"&amp;9 Adobe Inc. (ADBE) — Trading Comparables&amp;R&amp;"Times New Roman"&amp;9&amp;A</oddHeader>
    <oddFooter>&amp;L&amp;"Times New Roman"&amp;8 Confidential&amp;C&amp;"Times New Roman"&amp;8 Page &amp;P of &amp;N&amp;R&amp;"Times New Roman"&amp;8 &amp;D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F5362-0C02-4F14-B65D-485FF6310432}">
  <sheetPr>
    <pageSetUpPr fitToPage="1"/>
  </sheetPr>
  <dimension ref="B3:U202"/>
  <sheetViews>
    <sheetView showGridLines="0" topLeftCell="D1" zoomScale="99" workbookViewId="0">
      <selection activeCell="O11" sqref="O11"/>
    </sheetView>
  </sheetViews>
  <sheetFormatPr defaultRowHeight="13.8" x14ac:dyDescent="0.25"/>
  <cols>
    <col min="1" max="1" width="8.88671875" style="1"/>
    <col min="2" max="2" width="2.5546875" style="1" customWidth="1"/>
    <col min="3" max="3" width="37" style="1" customWidth="1"/>
    <col min="4" max="7" width="11.109375" style="1" customWidth="1"/>
    <col min="8" max="8" width="2.21875" style="1" customWidth="1"/>
    <col min="9" max="9" width="38" style="1" customWidth="1"/>
    <col min="10" max="15" width="10.33203125" style="1" customWidth="1"/>
    <col min="16" max="16" width="2.21875" style="1" customWidth="1"/>
    <col min="17" max="17" width="38" style="1" customWidth="1"/>
    <col min="18" max="19" width="11.44140625" style="1" customWidth="1"/>
    <col min="20" max="20" width="13.6640625" style="1" bestFit="1" customWidth="1"/>
    <col min="21" max="21" width="11.44140625" style="1" customWidth="1"/>
    <col min="22" max="16384" width="8.88671875" style="1"/>
  </cols>
  <sheetData>
    <row r="3" spans="2:21" ht="22.05" customHeight="1" x14ac:dyDescent="0.3">
      <c r="B3" s="2"/>
      <c r="C3" s="3" t="s">
        <v>171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1" ht="14.4" x14ac:dyDescent="0.3">
      <c r="B4" s="2"/>
      <c r="C4" s="5" t="s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2:21" x14ac:dyDescent="0.25">
      <c r="B5" s="2"/>
      <c r="C5" s="6" t="s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21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21" x14ac:dyDescent="0.25">
      <c r="B7" s="2"/>
      <c r="C7" s="7" t="s">
        <v>2</v>
      </c>
      <c r="D7" s="7"/>
      <c r="E7" s="7"/>
      <c r="F7" s="7"/>
      <c r="G7" s="7"/>
      <c r="H7" s="2"/>
      <c r="I7" s="7" t="s">
        <v>52</v>
      </c>
      <c r="J7" s="7"/>
      <c r="K7" s="7"/>
      <c r="L7" s="7"/>
      <c r="M7" s="7"/>
      <c r="N7" s="7"/>
      <c r="O7" s="7"/>
      <c r="P7" s="2"/>
      <c r="Q7" s="7" t="s">
        <v>93</v>
      </c>
      <c r="R7" s="7"/>
      <c r="S7" s="7"/>
      <c r="T7" s="8" t="s">
        <v>147</v>
      </c>
      <c r="U7" s="46">
        <f>DATE(2026,5,29)</f>
        <v>46171</v>
      </c>
    </row>
    <row r="8" spans="2:21" x14ac:dyDescent="0.25">
      <c r="B8" s="2"/>
      <c r="C8" s="2" t="s">
        <v>3</v>
      </c>
      <c r="D8" s="2"/>
      <c r="E8" s="2"/>
      <c r="F8" s="2"/>
      <c r="G8" s="9" t="s">
        <v>148</v>
      </c>
      <c r="H8" s="2"/>
      <c r="I8" s="2"/>
      <c r="J8" s="10" t="s">
        <v>53</v>
      </c>
      <c r="K8" s="2"/>
      <c r="L8" s="2"/>
      <c r="M8" s="2"/>
      <c r="N8" s="2"/>
      <c r="O8" s="2"/>
      <c r="P8" s="2"/>
      <c r="Q8" s="2" t="s">
        <v>94</v>
      </c>
      <c r="R8" s="2"/>
      <c r="S8" s="2"/>
      <c r="T8" s="41">
        <v>6595</v>
      </c>
      <c r="U8" s="41">
        <v>5626</v>
      </c>
    </row>
    <row r="9" spans="2:21" x14ac:dyDescent="0.25">
      <c r="B9" s="2"/>
      <c r="C9" s="2" t="s">
        <v>4</v>
      </c>
      <c r="D9" s="2"/>
      <c r="E9" s="2"/>
      <c r="F9" s="2"/>
      <c r="G9" s="9" t="s">
        <v>149</v>
      </c>
      <c r="H9" s="2"/>
      <c r="I9" s="2"/>
      <c r="J9" s="11" t="s">
        <v>145</v>
      </c>
      <c r="K9" s="11" t="s">
        <v>146</v>
      </c>
      <c r="L9" s="11" t="s">
        <v>147</v>
      </c>
      <c r="M9" s="11" t="s">
        <v>54</v>
      </c>
      <c r="N9" s="11" t="s">
        <v>55</v>
      </c>
      <c r="O9" s="11" t="s">
        <v>26</v>
      </c>
      <c r="P9" s="2"/>
      <c r="Q9" s="2" t="s">
        <v>95</v>
      </c>
      <c r="R9" s="2"/>
      <c r="S9" s="2"/>
      <c r="T9" s="41">
        <v>2344</v>
      </c>
      <c r="U9" s="41">
        <v>1993</v>
      </c>
    </row>
    <row r="10" spans="2:21" x14ac:dyDescent="0.25">
      <c r="B10" s="2"/>
      <c r="C10" s="2" t="s">
        <v>5</v>
      </c>
      <c r="D10" s="2"/>
      <c r="E10" s="2"/>
      <c r="F10" s="2"/>
      <c r="G10" s="9" t="s">
        <v>6</v>
      </c>
      <c r="H10" s="2"/>
      <c r="I10" s="2"/>
      <c r="J10" s="12"/>
      <c r="K10" s="12"/>
      <c r="L10" s="12"/>
      <c r="M10" s="45">
        <f>DATE(2025,5,30)</f>
        <v>45807</v>
      </c>
      <c r="N10" s="45">
        <f>DATE(2026,5,29)</f>
        <v>46171</v>
      </c>
      <c r="O10" s="45">
        <f>DATE(2026,5,29)</f>
        <v>46171</v>
      </c>
      <c r="P10" s="2"/>
      <c r="Q10" s="2" t="s">
        <v>96</v>
      </c>
      <c r="R10" s="2"/>
      <c r="S10" s="2"/>
      <c r="T10" s="41">
        <v>0</v>
      </c>
      <c r="U10" s="41">
        <v>0</v>
      </c>
    </row>
    <row r="11" spans="2:21" x14ac:dyDescent="0.25">
      <c r="B11" s="2"/>
      <c r="C11" s="2" t="s">
        <v>7</v>
      </c>
      <c r="D11" s="2"/>
      <c r="E11" s="2"/>
      <c r="F11" s="2"/>
      <c r="G11" s="13" t="s">
        <v>150</v>
      </c>
      <c r="H11" s="2"/>
      <c r="I11" s="2" t="s">
        <v>43</v>
      </c>
      <c r="J11" s="41">
        <v>19409</v>
      </c>
      <c r="K11" s="41">
        <v>21505</v>
      </c>
      <c r="L11" s="41">
        <v>23769</v>
      </c>
      <c r="M11" s="41">
        <v>11587</v>
      </c>
      <c r="N11" s="41">
        <v>13016</v>
      </c>
      <c r="O11" s="41">
        <f>L11+N11-M11</f>
        <v>25198</v>
      </c>
      <c r="P11" s="2"/>
      <c r="Q11" s="2" t="s">
        <v>97</v>
      </c>
      <c r="R11" s="2"/>
      <c r="S11" s="2"/>
      <c r="T11" s="41">
        <v>1224</v>
      </c>
      <c r="U11" s="41">
        <v>1449</v>
      </c>
    </row>
    <row r="12" spans="2:21" x14ac:dyDescent="0.25">
      <c r="B12" s="2"/>
      <c r="C12" s="2" t="s">
        <v>8</v>
      </c>
      <c r="D12" s="2"/>
      <c r="E12" s="2"/>
      <c r="F12" s="2"/>
      <c r="G12" s="9" t="s">
        <v>9</v>
      </c>
      <c r="H12" s="2"/>
      <c r="I12" s="2" t="s">
        <v>56</v>
      </c>
      <c r="J12" s="41">
        <v>2354</v>
      </c>
      <c r="K12" s="41">
        <v>2358</v>
      </c>
      <c r="L12" s="41">
        <v>2551</v>
      </c>
      <c r="M12" s="41">
        <v>1260</v>
      </c>
      <c r="N12" s="41">
        <v>1379</v>
      </c>
      <c r="O12" s="41">
        <f>L12+N12-M12</f>
        <v>2670</v>
      </c>
      <c r="P12" s="2"/>
      <c r="Q12" s="14" t="s">
        <v>98</v>
      </c>
      <c r="R12" s="2"/>
      <c r="S12" s="2"/>
      <c r="T12" s="15">
        <f>SUM(T8:T11)</f>
        <v>10163</v>
      </c>
      <c r="U12" s="15">
        <f>SUM(U8:U11)</f>
        <v>9068</v>
      </c>
    </row>
    <row r="13" spans="2:21" x14ac:dyDescent="0.25">
      <c r="B13" s="2"/>
      <c r="C13" s="2" t="s">
        <v>10</v>
      </c>
      <c r="D13" s="2"/>
      <c r="E13" s="2"/>
      <c r="F13" s="2"/>
      <c r="G13" s="9" t="s">
        <v>9</v>
      </c>
      <c r="H13" s="2"/>
      <c r="I13" s="14" t="s">
        <v>57</v>
      </c>
      <c r="J13" s="15">
        <f>J11-J12</f>
        <v>17055</v>
      </c>
      <c r="K13" s="15">
        <f t="shared" ref="K13:O13" si="0">K11-K12</f>
        <v>19147</v>
      </c>
      <c r="L13" s="15">
        <f t="shared" si="0"/>
        <v>21218</v>
      </c>
      <c r="M13" s="15">
        <f t="shared" si="0"/>
        <v>10327</v>
      </c>
      <c r="N13" s="15">
        <f t="shared" si="0"/>
        <v>11637</v>
      </c>
      <c r="O13" s="15">
        <f>O11-O12</f>
        <v>22528</v>
      </c>
      <c r="P13" s="2"/>
      <c r="Q13" s="2" t="s">
        <v>99</v>
      </c>
      <c r="R13" s="2"/>
      <c r="S13" s="2"/>
      <c r="T13" s="41">
        <v>1873</v>
      </c>
      <c r="U13" s="41">
        <v>1870</v>
      </c>
    </row>
    <row r="14" spans="2:21" x14ac:dyDescent="0.25">
      <c r="B14" s="2"/>
      <c r="C14" s="2" t="s">
        <v>11</v>
      </c>
      <c r="D14" s="2"/>
      <c r="E14" s="2"/>
      <c r="F14" s="2"/>
      <c r="G14" s="16">
        <v>1.43</v>
      </c>
      <c r="H14" s="2"/>
      <c r="I14" s="2" t="s">
        <v>58</v>
      </c>
      <c r="J14" s="41">
        <v>10405</v>
      </c>
      <c r="K14" s="41">
        <v>12406</v>
      </c>
      <c r="L14" s="41">
        <v>12512</v>
      </c>
      <c r="M14" s="41">
        <v>6055</v>
      </c>
      <c r="N14" s="41">
        <v>6981</v>
      </c>
      <c r="O14" s="41">
        <f>L14+N14-M14</f>
        <v>13438</v>
      </c>
      <c r="P14" s="2"/>
      <c r="Q14" s="2" t="s">
        <v>100</v>
      </c>
      <c r="R14" s="2"/>
      <c r="S14" s="2"/>
      <c r="T14" s="41">
        <v>13352</v>
      </c>
      <c r="U14" s="41">
        <v>15053</v>
      </c>
    </row>
    <row r="15" spans="2:21" x14ac:dyDescent="0.25">
      <c r="B15" s="2"/>
      <c r="C15" s="2" t="s">
        <v>12</v>
      </c>
      <c r="D15" s="2"/>
      <c r="E15" s="2"/>
      <c r="F15" s="2"/>
      <c r="G15" s="17">
        <f>L23</f>
        <v>0.18365010304556903</v>
      </c>
      <c r="H15" s="2"/>
      <c r="I15" s="14" t="s">
        <v>59</v>
      </c>
      <c r="J15" s="15">
        <f>J13-J14</f>
        <v>6650</v>
      </c>
      <c r="K15" s="15">
        <f t="shared" ref="K15:O15" si="1">K13-K14</f>
        <v>6741</v>
      </c>
      <c r="L15" s="15">
        <f t="shared" si="1"/>
        <v>8706</v>
      </c>
      <c r="M15" s="15">
        <f t="shared" si="1"/>
        <v>4272</v>
      </c>
      <c r="N15" s="15">
        <f t="shared" si="1"/>
        <v>4656</v>
      </c>
      <c r="O15" s="15">
        <f t="shared" si="1"/>
        <v>9090</v>
      </c>
      <c r="P15" s="2"/>
      <c r="Q15" s="2" t="s">
        <v>101</v>
      </c>
      <c r="R15" s="2"/>
      <c r="S15" s="2"/>
      <c r="T15" s="41">
        <v>4108</v>
      </c>
      <c r="U15" s="41">
        <v>3942</v>
      </c>
    </row>
    <row r="16" spans="2:21" x14ac:dyDescent="0.25">
      <c r="B16" s="2"/>
      <c r="C16" s="2"/>
      <c r="D16" s="2"/>
      <c r="E16" s="2"/>
      <c r="F16" s="2"/>
      <c r="G16" s="2"/>
      <c r="H16" s="2"/>
      <c r="I16" s="2" t="s">
        <v>60</v>
      </c>
      <c r="J16" s="41">
        <v>113</v>
      </c>
      <c r="K16" s="41">
        <v>169</v>
      </c>
      <c r="L16" s="41">
        <v>263</v>
      </c>
      <c r="M16" s="41">
        <v>130</v>
      </c>
      <c r="N16" s="41">
        <v>128</v>
      </c>
      <c r="O16" s="41">
        <f>L16+N16-M16</f>
        <v>261</v>
      </c>
      <c r="P16" s="2"/>
      <c r="Q16" s="14" t="s">
        <v>102</v>
      </c>
      <c r="R16" s="2"/>
      <c r="S16" s="2"/>
      <c r="T16" s="15">
        <f>T12+T13+T14+T15</f>
        <v>29496</v>
      </c>
      <c r="U16" s="15">
        <f>U12+U13+U14+U15</f>
        <v>29933</v>
      </c>
    </row>
    <row r="17" spans="2:21" x14ac:dyDescent="0.25">
      <c r="B17" s="2"/>
      <c r="C17" s="7" t="s">
        <v>13</v>
      </c>
      <c r="D17" s="7"/>
      <c r="E17" s="7"/>
      <c r="F17" s="7"/>
      <c r="G17" s="7"/>
      <c r="H17" s="2"/>
      <c r="I17" s="2" t="s">
        <v>61</v>
      </c>
      <c r="J17" s="41">
        <v>-262</v>
      </c>
      <c r="K17" s="41">
        <v>-359</v>
      </c>
      <c r="L17" s="41">
        <v>-291</v>
      </c>
      <c r="M17" s="41">
        <v>-141</v>
      </c>
      <c r="N17" s="41">
        <v>-132</v>
      </c>
      <c r="O17" s="41">
        <f>L17+N17-M17</f>
        <v>-282</v>
      </c>
      <c r="P17" s="2"/>
      <c r="Q17" s="2" t="s">
        <v>103</v>
      </c>
      <c r="R17" s="2"/>
      <c r="S17" s="2"/>
      <c r="T17" s="41">
        <v>417</v>
      </c>
      <c r="U17" s="41">
        <v>499</v>
      </c>
    </row>
    <row r="18" spans="2:21" x14ac:dyDescent="0.25">
      <c r="B18" s="2"/>
      <c r="C18" s="2" t="s">
        <v>14</v>
      </c>
      <c r="D18" s="2"/>
      <c r="E18" s="2"/>
      <c r="F18" s="2"/>
      <c r="G18" s="18">
        <v>218</v>
      </c>
      <c r="H18" s="2"/>
      <c r="I18" s="14" t="s">
        <v>62</v>
      </c>
      <c r="J18" s="15">
        <f>J15-J16-J17</f>
        <v>6799</v>
      </c>
      <c r="K18" s="15">
        <f t="shared" ref="K18:O18" si="2">K15-K16-K17</f>
        <v>6931</v>
      </c>
      <c r="L18" s="15">
        <f t="shared" si="2"/>
        <v>8734</v>
      </c>
      <c r="M18" s="15">
        <f t="shared" si="2"/>
        <v>4283</v>
      </c>
      <c r="N18" s="15">
        <f t="shared" si="2"/>
        <v>4660</v>
      </c>
      <c r="O18" s="15">
        <f t="shared" si="2"/>
        <v>9111</v>
      </c>
      <c r="P18" s="2"/>
      <c r="Q18" s="2" t="s">
        <v>104</v>
      </c>
      <c r="R18" s="2"/>
      <c r="S18" s="2"/>
      <c r="T18" s="41">
        <v>2648</v>
      </c>
      <c r="U18" s="41">
        <v>2455</v>
      </c>
    </row>
    <row r="19" spans="2:21" x14ac:dyDescent="0.25">
      <c r="B19" s="2"/>
      <c r="C19" s="2" t="s">
        <v>15</v>
      </c>
      <c r="D19" s="2"/>
      <c r="E19" s="2"/>
      <c r="F19" s="2"/>
      <c r="G19" s="18">
        <v>386.6</v>
      </c>
      <c r="H19" s="2"/>
      <c r="I19" s="2" t="s">
        <v>63</v>
      </c>
      <c r="J19" s="41">
        <v>1371</v>
      </c>
      <c r="K19" s="41">
        <v>1371</v>
      </c>
      <c r="L19" s="41">
        <v>1604</v>
      </c>
      <c r="M19" s="41">
        <v>781</v>
      </c>
      <c r="N19" s="41">
        <v>1059</v>
      </c>
      <c r="O19" s="41">
        <f>L19+N19-M19</f>
        <v>1882</v>
      </c>
      <c r="P19" s="2"/>
      <c r="Q19" s="2" t="s">
        <v>105</v>
      </c>
      <c r="R19" s="2"/>
      <c r="S19" s="2"/>
      <c r="T19" s="41">
        <v>7135</v>
      </c>
      <c r="U19" s="41">
        <v>7281</v>
      </c>
    </row>
    <row r="20" spans="2:21" x14ac:dyDescent="0.25">
      <c r="B20" s="2"/>
      <c r="C20" s="2" t="s">
        <v>16</v>
      </c>
      <c r="D20" s="2"/>
      <c r="E20" s="2"/>
      <c r="F20" s="2"/>
      <c r="G20" s="18">
        <v>190.12</v>
      </c>
      <c r="H20" s="2"/>
      <c r="I20" s="2" t="s">
        <v>64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2"/>
      <c r="Q20" s="14" t="s">
        <v>106</v>
      </c>
      <c r="R20" s="2"/>
      <c r="S20" s="2"/>
      <c r="T20" s="15">
        <f>SUM(T17:T19)</f>
        <v>10200</v>
      </c>
      <c r="U20" s="15">
        <f>SUM(U17:U19)</f>
        <v>10235</v>
      </c>
    </row>
    <row r="21" spans="2:21" x14ac:dyDescent="0.25">
      <c r="B21" s="2"/>
      <c r="C21" s="2" t="s">
        <v>17</v>
      </c>
      <c r="D21" s="2"/>
      <c r="E21" s="2"/>
      <c r="F21" s="2"/>
      <c r="G21" s="18">
        <v>0</v>
      </c>
      <c r="H21" s="2"/>
      <c r="I21" s="2" t="s">
        <v>65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2"/>
      <c r="Q21" s="2" t="s">
        <v>107</v>
      </c>
      <c r="R21" s="2"/>
      <c r="S21" s="2"/>
      <c r="T21" s="41">
        <v>6210</v>
      </c>
      <c r="U21" s="41">
        <v>6645</v>
      </c>
    </row>
    <row r="22" spans="2:21" x14ac:dyDescent="0.25">
      <c r="B22" s="2"/>
      <c r="C22" s="2" t="s">
        <v>18</v>
      </c>
      <c r="D22" s="2"/>
      <c r="E22" s="2"/>
      <c r="F22" s="2"/>
      <c r="G22" s="19">
        <f>U55</f>
        <v>399</v>
      </c>
      <c r="H22" s="2"/>
      <c r="I22" s="14" t="s">
        <v>66</v>
      </c>
      <c r="J22" s="15">
        <f>J18-J19-J20-J21</f>
        <v>5428</v>
      </c>
      <c r="K22" s="15">
        <f t="shared" ref="K22:O22" si="3">K18-K19-K20-K21</f>
        <v>5560</v>
      </c>
      <c r="L22" s="15">
        <f t="shared" si="3"/>
        <v>7130</v>
      </c>
      <c r="M22" s="15">
        <f t="shared" si="3"/>
        <v>3502</v>
      </c>
      <c r="N22" s="15">
        <f t="shared" si="3"/>
        <v>3601</v>
      </c>
      <c r="O22" s="15">
        <f t="shared" si="3"/>
        <v>7229</v>
      </c>
      <c r="P22" s="2"/>
      <c r="Q22" s="2" t="s">
        <v>108</v>
      </c>
      <c r="R22" s="2"/>
      <c r="S22" s="2"/>
      <c r="T22" s="41">
        <v>1463</v>
      </c>
      <c r="U22" s="41">
        <v>1535</v>
      </c>
    </row>
    <row r="23" spans="2:21" x14ac:dyDescent="0.25">
      <c r="B23" s="2"/>
      <c r="C23" s="14" t="s">
        <v>19</v>
      </c>
      <c r="D23" s="2"/>
      <c r="E23" s="2"/>
      <c r="F23" s="2"/>
      <c r="G23" s="20">
        <f>G18*G22</f>
        <v>86982</v>
      </c>
      <c r="H23" s="2"/>
      <c r="I23" s="2" t="s">
        <v>67</v>
      </c>
      <c r="J23" s="21">
        <f>IFERROR(J19/J18,0)</f>
        <v>0.20164730107368731</v>
      </c>
      <c r="K23" s="21">
        <f t="shared" ref="K23:O23" si="4">IFERROR(K19/K18,0)</f>
        <v>0.19780695426345404</v>
      </c>
      <c r="L23" s="21">
        <f t="shared" si="4"/>
        <v>0.18365010304556903</v>
      </c>
      <c r="M23" s="21">
        <f t="shared" si="4"/>
        <v>0.18234882091991594</v>
      </c>
      <c r="N23" s="21">
        <f t="shared" si="4"/>
        <v>0.22725321888412017</v>
      </c>
      <c r="O23" s="21">
        <f t="shared" si="4"/>
        <v>0.20656349467676435</v>
      </c>
      <c r="P23" s="2"/>
      <c r="Q23" s="14" t="s">
        <v>109</v>
      </c>
      <c r="R23" s="2"/>
      <c r="S23" s="2"/>
      <c r="T23" s="15">
        <f>T20+T21+T22</f>
        <v>17873</v>
      </c>
      <c r="U23" s="15">
        <f>U20+U21+U22</f>
        <v>18415</v>
      </c>
    </row>
    <row r="24" spans="2:21" x14ac:dyDescent="0.25">
      <c r="B24" s="2"/>
      <c r="C24" s="2" t="s">
        <v>20</v>
      </c>
      <c r="D24" s="2"/>
      <c r="E24" s="2"/>
      <c r="F24" s="2"/>
      <c r="G24" s="22">
        <f>U21</f>
        <v>6645</v>
      </c>
      <c r="H24" s="2"/>
      <c r="I24" s="2" t="s">
        <v>68</v>
      </c>
      <c r="J24" s="42">
        <v>459</v>
      </c>
      <c r="K24" s="42">
        <v>450</v>
      </c>
      <c r="L24" s="42">
        <v>427</v>
      </c>
      <c r="M24" s="42">
        <v>433</v>
      </c>
      <c r="N24" s="42">
        <v>407</v>
      </c>
      <c r="O24" s="42">
        <f>N24</f>
        <v>407</v>
      </c>
      <c r="P24" s="2"/>
      <c r="Q24" s="2" t="s">
        <v>64</v>
      </c>
      <c r="R24" s="2"/>
      <c r="S24" s="2"/>
      <c r="T24" s="41">
        <v>0</v>
      </c>
      <c r="U24" s="41">
        <v>0</v>
      </c>
    </row>
    <row r="25" spans="2:21" x14ac:dyDescent="0.25">
      <c r="B25" s="2"/>
      <c r="C25" s="2" t="s">
        <v>21</v>
      </c>
      <c r="D25" s="2"/>
      <c r="E25" s="2"/>
      <c r="F25" s="2"/>
      <c r="G25" s="22">
        <f>U25</f>
        <v>0</v>
      </c>
      <c r="H25" s="2"/>
      <c r="I25" s="2" t="s">
        <v>69</v>
      </c>
      <c r="J25" s="23">
        <f>IFERROR(J22/J24,0)</f>
        <v>11.825708061002178</v>
      </c>
      <c r="K25" s="23">
        <f t="shared" ref="K25:O25" si="5">IFERROR(K22/K24,0)</f>
        <v>12.355555555555556</v>
      </c>
      <c r="L25" s="23">
        <f t="shared" si="5"/>
        <v>16.697892271662763</v>
      </c>
      <c r="M25" s="23">
        <f t="shared" si="5"/>
        <v>8.0877598152424941</v>
      </c>
      <c r="N25" s="23">
        <f t="shared" si="5"/>
        <v>8.8476658476658478</v>
      </c>
      <c r="O25" s="23">
        <f t="shared" si="5"/>
        <v>17.761670761670761</v>
      </c>
      <c r="P25" s="2"/>
      <c r="Q25" s="2" t="s">
        <v>110</v>
      </c>
      <c r="R25" s="2"/>
      <c r="S25" s="2"/>
      <c r="T25" s="41">
        <v>0</v>
      </c>
      <c r="U25" s="41">
        <v>0</v>
      </c>
    </row>
    <row r="26" spans="2:21" x14ac:dyDescent="0.25">
      <c r="B26" s="2"/>
      <c r="C26" s="2" t="s">
        <v>22</v>
      </c>
      <c r="D26" s="2"/>
      <c r="E26" s="2"/>
      <c r="F26" s="2"/>
      <c r="G26" s="22">
        <f>U24</f>
        <v>0</v>
      </c>
      <c r="H26" s="2"/>
      <c r="I26" s="2"/>
      <c r="J26" s="2"/>
      <c r="K26" s="2"/>
      <c r="L26" s="2"/>
      <c r="M26" s="2"/>
      <c r="N26" s="2"/>
      <c r="O26" s="2"/>
      <c r="P26" s="2"/>
      <c r="Q26" s="2" t="s">
        <v>111</v>
      </c>
      <c r="R26" s="2"/>
      <c r="S26" s="2"/>
      <c r="T26" s="41">
        <v>11623</v>
      </c>
      <c r="U26" s="41">
        <v>11518</v>
      </c>
    </row>
    <row r="27" spans="2:21" x14ac:dyDescent="0.25">
      <c r="B27" s="2"/>
      <c r="C27" s="2" t="s">
        <v>23</v>
      </c>
      <c r="D27" s="2"/>
      <c r="E27" s="2"/>
      <c r="F27" s="2"/>
      <c r="G27" s="22">
        <f>-U8</f>
        <v>-5626</v>
      </c>
      <c r="H27" s="2"/>
      <c r="I27" s="7" t="s">
        <v>70</v>
      </c>
      <c r="J27" s="7"/>
      <c r="K27" s="7"/>
      <c r="L27" s="7"/>
      <c r="M27" s="7"/>
      <c r="N27" s="7"/>
      <c r="O27" s="7"/>
      <c r="P27" s="2"/>
      <c r="Q27" s="14" t="s">
        <v>112</v>
      </c>
      <c r="R27" s="2"/>
      <c r="S27" s="2"/>
      <c r="T27" s="15">
        <f>T23+T24+T25+T26</f>
        <v>29496</v>
      </c>
      <c r="U27" s="15">
        <f>U23+U24+U25+U26</f>
        <v>29933</v>
      </c>
    </row>
    <row r="28" spans="2:21" ht="14.4" thickBot="1" x14ac:dyDescent="0.3">
      <c r="B28" s="2"/>
      <c r="C28" s="14" t="s">
        <v>24</v>
      </c>
      <c r="D28" s="2"/>
      <c r="E28" s="2"/>
      <c r="F28" s="2"/>
      <c r="G28" s="24">
        <f>SUM(G23:G27)</f>
        <v>88001</v>
      </c>
      <c r="H28" s="2"/>
      <c r="I28" s="2" t="s">
        <v>71</v>
      </c>
      <c r="J28" s="25">
        <f>J13</f>
        <v>17055</v>
      </c>
      <c r="K28" s="25">
        <f t="shared" ref="K28:O28" si="6">K13</f>
        <v>19147</v>
      </c>
      <c r="L28" s="25">
        <f t="shared" si="6"/>
        <v>21218</v>
      </c>
      <c r="M28" s="25">
        <f t="shared" si="6"/>
        <v>10327</v>
      </c>
      <c r="N28" s="25">
        <f t="shared" si="6"/>
        <v>11637</v>
      </c>
      <c r="O28" s="25">
        <f t="shared" si="6"/>
        <v>22528</v>
      </c>
      <c r="P28" s="2"/>
      <c r="Q28" s="6" t="s">
        <v>113</v>
      </c>
      <c r="R28" s="2"/>
      <c r="S28" s="2"/>
      <c r="T28" s="26">
        <f>T16-T27</f>
        <v>0</v>
      </c>
      <c r="U28" s="26">
        <f>U16-U27</f>
        <v>0</v>
      </c>
    </row>
    <row r="29" spans="2:21" ht="14.4" thickTop="1" x14ac:dyDescent="0.25">
      <c r="B29" s="2"/>
      <c r="C29" s="2"/>
      <c r="D29" s="2"/>
      <c r="E29" s="2"/>
      <c r="F29" s="2"/>
      <c r="G29" s="2"/>
      <c r="H29" s="2"/>
      <c r="I29" s="2" t="s">
        <v>72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f>L29+N29-M29</f>
        <v>0</v>
      </c>
      <c r="P29" s="2"/>
      <c r="Q29" s="6"/>
      <c r="R29" s="2"/>
      <c r="S29" s="2"/>
      <c r="T29" s="26"/>
      <c r="U29" s="26"/>
    </row>
    <row r="30" spans="2:21" x14ac:dyDescent="0.25">
      <c r="B30" s="2"/>
      <c r="C30" s="7" t="s">
        <v>25</v>
      </c>
      <c r="D30" s="7"/>
      <c r="E30" s="7"/>
      <c r="F30" s="7"/>
      <c r="G30" s="7"/>
      <c r="H30" s="2"/>
      <c r="I30" s="14" t="s">
        <v>73</v>
      </c>
      <c r="J30" s="15">
        <f>J28+J29</f>
        <v>17055</v>
      </c>
      <c r="K30" s="15">
        <f t="shared" ref="K30:O30" si="7">K28+K29</f>
        <v>19147</v>
      </c>
      <c r="L30" s="15">
        <f t="shared" si="7"/>
        <v>21218</v>
      </c>
      <c r="M30" s="15">
        <f t="shared" si="7"/>
        <v>10327</v>
      </c>
      <c r="N30" s="15">
        <f t="shared" si="7"/>
        <v>11637</v>
      </c>
      <c r="O30" s="15">
        <f t="shared" si="7"/>
        <v>22528</v>
      </c>
      <c r="P30" s="2"/>
      <c r="Q30" s="2"/>
      <c r="R30" s="2"/>
      <c r="S30" s="2"/>
      <c r="T30" s="2"/>
      <c r="U30" s="2"/>
    </row>
    <row r="31" spans="2:21" x14ac:dyDescent="0.25">
      <c r="B31" s="2"/>
      <c r="C31" s="2"/>
      <c r="D31" s="11" t="s">
        <v>26</v>
      </c>
      <c r="E31" s="11" t="s">
        <v>27</v>
      </c>
      <c r="F31" s="11" t="s">
        <v>28</v>
      </c>
      <c r="G31" s="11" t="s">
        <v>29</v>
      </c>
      <c r="H31" s="2"/>
      <c r="I31" s="6" t="s">
        <v>74</v>
      </c>
      <c r="J31" s="27">
        <f>IFERROR(J30/J11,0)</f>
        <v>0.87871605955999799</v>
      </c>
      <c r="K31" s="27">
        <f t="shared" ref="K31:O31" si="8">IFERROR(K30/K11,0)</f>
        <v>0.89035108114392003</v>
      </c>
      <c r="L31" s="27">
        <f t="shared" si="8"/>
        <v>0.89267533341747651</v>
      </c>
      <c r="M31" s="27">
        <f t="shared" si="8"/>
        <v>0.89125744368689053</v>
      </c>
      <c r="N31" s="27">
        <f t="shared" si="8"/>
        <v>0.89405347264904733</v>
      </c>
      <c r="O31" s="27">
        <f t="shared" si="8"/>
        <v>0.8940392094610683</v>
      </c>
      <c r="P31" s="2"/>
      <c r="Q31" s="7" t="s">
        <v>114</v>
      </c>
      <c r="R31" s="28" t="s">
        <v>115</v>
      </c>
      <c r="S31" s="28" t="s">
        <v>116</v>
      </c>
      <c r="T31" s="28" t="s">
        <v>117</v>
      </c>
      <c r="U31" s="28" t="s">
        <v>118</v>
      </c>
    </row>
    <row r="32" spans="2:21" x14ac:dyDescent="0.25">
      <c r="B32" s="2"/>
      <c r="C32" s="2"/>
      <c r="D32" s="45">
        <f>DATE(2026,5,29)</f>
        <v>46171</v>
      </c>
      <c r="E32" s="29" t="s">
        <v>142</v>
      </c>
      <c r="F32" s="29" t="s">
        <v>143</v>
      </c>
      <c r="G32" s="29" t="s">
        <v>144</v>
      </c>
      <c r="H32" s="2"/>
      <c r="I32" s="2" t="s">
        <v>75</v>
      </c>
      <c r="J32" s="25">
        <f>J15</f>
        <v>6650</v>
      </c>
      <c r="K32" s="25">
        <f t="shared" ref="K32:O32" si="9">K15</f>
        <v>6741</v>
      </c>
      <c r="L32" s="25">
        <f t="shared" si="9"/>
        <v>8706</v>
      </c>
      <c r="M32" s="25">
        <f t="shared" si="9"/>
        <v>4272</v>
      </c>
      <c r="N32" s="25">
        <f t="shared" si="9"/>
        <v>4656</v>
      </c>
      <c r="O32" s="25">
        <f t="shared" si="9"/>
        <v>9090</v>
      </c>
      <c r="P32" s="2"/>
      <c r="Q32" s="2" t="s">
        <v>119</v>
      </c>
      <c r="R32" s="42">
        <v>0</v>
      </c>
      <c r="S32" s="18">
        <v>0</v>
      </c>
      <c r="T32" s="19">
        <f>IF(AND(S32&gt;0,S32&lt;$G$18),R32,0)</f>
        <v>0</v>
      </c>
      <c r="U32" s="25">
        <f>T32*S32</f>
        <v>0</v>
      </c>
    </row>
    <row r="33" spans="2:21" x14ac:dyDescent="0.25">
      <c r="B33" s="2"/>
      <c r="C33" s="14" t="s">
        <v>30</v>
      </c>
      <c r="D33" s="47">
        <f>G28/O11</f>
        <v>3.4923803476466384</v>
      </c>
      <c r="E33" s="47">
        <f>G28/E34</f>
        <v>3.3182880844645553</v>
      </c>
      <c r="F33" s="47">
        <f>G28/F34</f>
        <v>3.0460713049498098</v>
      </c>
      <c r="G33" s="30" t="s">
        <v>9</v>
      </c>
      <c r="H33" s="2"/>
      <c r="I33" s="2" t="s">
        <v>72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f>L33+N33-M33</f>
        <v>0</v>
      </c>
      <c r="P33" s="2"/>
      <c r="Q33" s="2" t="s">
        <v>120</v>
      </c>
      <c r="R33" s="42">
        <v>0</v>
      </c>
      <c r="S33" s="18">
        <v>0</v>
      </c>
      <c r="T33" s="19">
        <f t="shared" ref="T33:T36" si="10">IF(AND(S33&gt;0,S33&lt;$G$18),R33,0)</f>
        <v>0</v>
      </c>
      <c r="U33" s="25">
        <f t="shared" ref="U33:U36" si="11">T33*S33</f>
        <v>0</v>
      </c>
    </row>
    <row r="34" spans="2:21" x14ac:dyDescent="0.25">
      <c r="B34" s="2"/>
      <c r="C34" s="6" t="s">
        <v>31</v>
      </c>
      <c r="D34" s="48">
        <f>O11</f>
        <v>25198</v>
      </c>
      <c r="E34" s="48">
        <v>26520</v>
      </c>
      <c r="F34" s="48">
        <v>28890</v>
      </c>
      <c r="G34" s="2"/>
      <c r="H34" s="2"/>
      <c r="I34" s="2" t="s">
        <v>76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f>L34+N34-M34</f>
        <v>0</v>
      </c>
      <c r="P34" s="2"/>
      <c r="Q34" s="2" t="s">
        <v>121</v>
      </c>
      <c r="R34" s="42">
        <v>0</v>
      </c>
      <c r="S34" s="18">
        <v>0</v>
      </c>
      <c r="T34" s="19">
        <f t="shared" si="10"/>
        <v>0</v>
      </c>
      <c r="U34" s="25">
        <f t="shared" si="11"/>
        <v>0</v>
      </c>
    </row>
    <row r="35" spans="2:21" x14ac:dyDescent="0.25">
      <c r="B35" s="2"/>
      <c r="C35" s="14" t="s">
        <v>32</v>
      </c>
      <c r="D35" s="47">
        <f>IF(O38&lt;=0,"NM",IF(G28/O38&gt;NM_Cap,"NM",G28/O38))</f>
        <v>8.9350187836328558</v>
      </c>
      <c r="E35" s="30" t="s">
        <v>9</v>
      </c>
      <c r="F35" s="30" t="s">
        <v>9</v>
      </c>
      <c r="G35" s="30" t="s">
        <v>9</v>
      </c>
      <c r="H35" s="2"/>
      <c r="I35" s="14" t="s">
        <v>77</v>
      </c>
      <c r="J35" s="15">
        <f>J32+J33+J34</f>
        <v>6650</v>
      </c>
      <c r="K35" s="15">
        <f t="shared" ref="K35:O35" si="12">K32+K33+K34</f>
        <v>6741</v>
      </c>
      <c r="L35" s="15">
        <f t="shared" si="12"/>
        <v>8706</v>
      </c>
      <c r="M35" s="15">
        <f t="shared" si="12"/>
        <v>4272</v>
      </c>
      <c r="N35" s="15">
        <f t="shared" si="12"/>
        <v>4656</v>
      </c>
      <c r="O35" s="15">
        <f t="shared" si="12"/>
        <v>9090</v>
      </c>
      <c r="P35" s="2"/>
      <c r="Q35" s="2" t="s">
        <v>122</v>
      </c>
      <c r="R35" s="42">
        <v>0</v>
      </c>
      <c r="S35" s="18">
        <v>0</v>
      </c>
      <c r="T35" s="19">
        <f t="shared" si="10"/>
        <v>0</v>
      </c>
      <c r="U35" s="25">
        <f t="shared" si="11"/>
        <v>0</v>
      </c>
    </row>
    <row r="36" spans="2:21" x14ac:dyDescent="0.25">
      <c r="B36" s="2"/>
      <c r="C36" s="6" t="s">
        <v>31</v>
      </c>
      <c r="D36" s="48">
        <f>O38</f>
        <v>9849</v>
      </c>
      <c r="E36" s="2"/>
      <c r="F36" s="2"/>
      <c r="G36" s="2"/>
      <c r="H36" s="2"/>
      <c r="I36" s="6" t="s">
        <v>74</v>
      </c>
      <c r="J36" s="27">
        <f>IFERROR(J35/J11,0)</f>
        <v>0.3426245556185275</v>
      </c>
      <c r="K36" s="27">
        <f t="shared" ref="K36:O36" si="13">IFERROR(K35/K11,0)</f>
        <v>0.31346198558474775</v>
      </c>
      <c r="L36" s="27">
        <f t="shared" si="13"/>
        <v>0.36627540073204595</v>
      </c>
      <c r="M36" s="27">
        <f t="shared" si="13"/>
        <v>0.36868904807111419</v>
      </c>
      <c r="N36" s="27">
        <f t="shared" si="13"/>
        <v>0.35771358328211433</v>
      </c>
      <c r="O36" s="27">
        <f t="shared" si="13"/>
        <v>0.36074291610445275</v>
      </c>
      <c r="P36" s="2"/>
      <c r="Q36" s="2" t="s">
        <v>123</v>
      </c>
      <c r="R36" s="42">
        <v>0</v>
      </c>
      <c r="S36" s="18">
        <v>0</v>
      </c>
      <c r="T36" s="19">
        <f t="shared" si="10"/>
        <v>0</v>
      </c>
      <c r="U36" s="25">
        <f t="shared" si="11"/>
        <v>0</v>
      </c>
    </row>
    <row r="37" spans="2:21" x14ac:dyDescent="0.25">
      <c r="B37" s="2"/>
      <c r="C37" s="14" t="s">
        <v>33</v>
      </c>
      <c r="D37" s="47">
        <f>IF(O35&lt;=0,"NM",IF(G28/O35&gt;NM_Cap,"NM",G28/O35))</f>
        <v>9.6810781078107819</v>
      </c>
      <c r="E37" s="30" t="s">
        <v>9</v>
      </c>
      <c r="F37" s="30" t="s">
        <v>9</v>
      </c>
      <c r="G37" s="30" t="s">
        <v>9</v>
      </c>
      <c r="H37" s="2"/>
      <c r="I37" s="2" t="s">
        <v>78</v>
      </c>
      <c r="J37" s="41">
        <v>872</v>
      </c>
      <c r="K37" s="41">
        <v>857</v>
      </c>
      <c r="L37" s="41">
        <v>818</v>
      </c>
      <c r="M37" s="41">
        <v>426</v>
      </c>
      <c r="N37" s="41">
        <v>367</v>
      </c>
      <c r="O37" s="41">
        <f>L37+N37-M37</f>
        <v>759</v>
      </c>
      <c r="P37" s="2"/>
      <c r="Q37" s="14" t="s">
        <v>124</v>
      </c>
      <c r="R37" s="31">
        <f>SUM(R32:R36)</f>
        <v>0</v>
      </c>
      <c r="S37" s="43"/>
      <c r="T37" s="31">
        <f>SUM(T32:T36)</f>
        <v>0</v>
      </c>
      <c r="U37" s="15">
        <f>SUM(U32:U36)</f>
        <v>0</v>
      </c>
    </row>
    <row r="38" spans="2:21" x14ac:dyDescent="0.25">
      <c r="B38" s="2"/>
      <c r="C38" s="6" t="s">
        <v>31</v>
      </c>
      <c r="D38" s="48">
        <f>O35</f>
        <v>9090</v>
      </c>
      <c r="E38" s="2"/>
      <c r="F38" s="2"/>
      <c r="G38" s="2"/>
      <c r="H38" s="2"/>
      <c r="I38" s="14" t="s">
        <v>79</v>
      </c>
      <c r="J38" s="15">
        <f>J35+J37</f>
        <v>7522</v>
      </c>
      <c r="K38" s="15">
        <f t="shared" ref="K38:O38" si="14">K35+K37</f>
        <v>7598</v>
      </c>
      <c r="L38" s="15">
        <f t="shared" si="14"/>
        <v>9524</v>
      </c>
      <c r="M38" s="15">
        <f t="shared" si="14"/>
        <v>4698</v>
      </c>
      <c r="N38" s="15">
        <f t="shared" si="14"/>
        <v>5023</v>
      </c>
      <c r="O38" s="15">
        <f t="shared" si="14"/>
        <v>9849</v>
      </c>
      <c r="P38" s="2"/>
      <c r="Q38" s="14"/>
      <c r="R38" s="32"/>
      <c r="S38" s="2"/>
      <c r="T38" s="32"/>
      <c r="U38" s="33"/>
    </row>
    <row r="39" spans="2:21" x14ac:dyDescent="0.25">
      <c r="B39" s="2"/>
      <c r="C39" s="14" t="s">
        <v>34</v>
      </c>
      <c r="D39" s="47">
        <f>IF(O46&lt;=0,"NM",IF(G18/O46&gt;NM_Cap,"NM",G18/O46))</f>
        <v>12.273620141098354</v>
      </c>
      <c r="E39" s="47">
        <f>IFERROR(IF(E40&lt;=0,"NM",IF(G18/E40&gt;NM_Cap,"NM",G18/E40)),"NA")</f>
        <v>8.927108927108927</v>
      </c>
      <c r="F39" s="47">
        <f>G18/F40</f>
        <v>7.9186342172175808</v>
      </c>
      <c r="G39" s="30" t="s">
        <v>9</v>
      </c>
      <c r="H39" s="2"/>
      <c r="I39" s="6" t="s">
        <v>74</v>
      </c>
      <c r="J39" s="27">
        <f>IFERROR(J38/J11,0)</f>
        <v>0.3875521665206863</v>
      </c>
      <c r="K39" s="27">
        <f t="shared" ref="K39:O39" si="15">IFERROR(K38/K11,0)</f>
        <v>0.35331318298070219</v>
      </c>
      <c r="L39" s="27">
        <f t="shared" si="15"/>
        <v>0.40068997433632042</v>
      </c>
      <c r="M39" s="27">
        <f t="shared" si="15"/>
        <v>0.40545438853887977</v>
      </c>
      <c r="N39" s="27">
        <f t="shared" si="15"/>
        <v>0.38590964966195451</v>
      </c>
      <c r="O39" s="27">
        <f t="shared" si="15"/>
        <v>0.39086435431383443</v>
      </c>
      <c r="P39" s="2"/>
      <c r="Q39" s="2"/>
      <c r="R39" s="2"/>
      <c r="S39" s="2"/>
      <c r="T39" s="2"/>
      <c r="U39" s="2"/>
    </row>
    <row r="40" spans="2:21" x14ac:dyDescent="0.25">
      <c r="B40" s="2"/>
      <c r="C40" s="6" t="s">
        <v>31</v>
      </c>
      <c r="D40" s="23">
        <f>O46</f>
        <v>17.761670761670761</v>
      </c>
      <c r="E40" s="23">
        <v>24.42</v>
      </c>
      <c r="F40" s="23">
        <v>27.53</v>
      </c>
      <c r="G40" s="2"/>
      <c r="H40" s="2"/>
      <c r="I40" s="2" t="s">
        <v>80</v>
      </c>
      <c r="J40" s="25">
        <f>J22</f>
        <v>5428</v>
      </c>
      <c r="K40" s="25">
        <f t="shared" ref="K40:O40" si="16">K22</f>
        <v>5560</v>
      </c>
      <c r="L40" s="25">
        <f t="shared" si="16"/>
        <v>7130</v>
      </c>
      <c r="M40" s="25">
        <f t="shared" si="16"/>
        <v>3502</v>
      </c>
      <c r="N40" s="25">
        <f t="shared" si="16"/>
        <v>3601</v>
      </c>
      <c r="O40" s="25">
        <f t="shared" si="16"/>
        <v>7229</v>
      </c>
      <c r="P40" s="2"/>
      <c r="Q40" s="7" t="s">
        <v>125</v>
      </c>
      <c r="R40" s="28" t="s">
        <v>126</v>
      </c>
      <c r="S40" s="28" t="s">
        <v>127</v>
      </c>
      <c r="T40" s="28" t="s">
        <v>128</v>
      </c>
      <c r="U40" s="28" t="s">
        <v>129</v>
      </c>
    </row>
    <row r="41" spans="2:21" x14ac:dyDescent="0.25">
      <c r="B41" s="2"/>
      <c r="C41" s="14" t="s">
        <v>35</v>
      </c>
      <c r="D41" s="34">
        <f>O51/G23</f>
        <v>0.11818537168609597</v>
      </c>
      <c r="E41" s="34">
        <f>E42/G23</f>
        <v>0.11922006851992366</v>
      </c>
      <c r="F41" s="30" t="s">
        <v>9</v>
      </c>
      <c r="G41" s="30" t="s">
        <v>9</v>
      </c>
      <c r="H41" s="2"/>
      <c r="I41" s="2" t="s">
        <v>76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f>L41+N41-M41</f>
        <v>0</v>
      </c>
      <c r="P41" s="2"/>
      <c r="Q41" s="2" t="s">
        <v>130</v>
      </c>
      <c r="R41" s="41">
        <v>0</v>
      </c>
      <c r="S41" s="18">
        <v>0</v>
      </c>
      <c r="T41" s="44">
        <f>IFERROR(1000/S41,0)</f>
        <v>0</v>
      </c>
      <c r="U41" s="19">
        <f>IFERROR(R41/S41,0)</f>
        <v>0</v>
      </c>
    </row>
    <row r="42" spans="2:21" x14ac:dyDescent="0.25">
      <c r="B42" s="2"/>
      <c r="C42" s="6" t="s">
        <v>31</v>
      </c>
      <c r="D42" s="48">
        <f>O51</f>
        <v>10280</v>
      </c>
      <c r="E42" s="48">
        <v>10370</v>
      </c>
      <c r="F42" s="2"/>
      <c r="G42" s="2"/>
      <c r="H42" s="2"/>
      <c r="I42" s="2" t="s">
        <v>72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1">
        <f>L42+N42-M42</f>
        <v>0</v>
      </c>
      <c r="P42" s="2"/>
      <c r="Q42" s="2" t="s">
        <v>131</v>
      </c>
      <c r="R42" s="41">
        <v>0</v>
      </c>
      <c r="S42" s="18">
        <v>0</v>
      </c>
      <c r="T42" s="44">
        <f t="shared" ref="T42:T45" si="17">IFERROR(1000/S42,0)</f>
        <v>0</v>
      </c>
      <c r="U42" s="19">
        <f t="shared" ref="U42:U45" si="18">IFERROR(R42/S42,0)</f>
        <v>0</v>
      </c>
    </row>
    <row r="43" spans="2:21" x14ac:dyDescent="0.25">
      <c r="B43" s="2"/>
      <c r="C43" s="2"/>
      <c r="D43" s="2"/>
      <c r="E43" s="2"/>
      <c r="F43" s="2"/>
      <c r="G43" s="2"/>
      <c r="H43" s="2"/>
      <c r="I43" s="2" t="s">
        <v>81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f>L43+N43-M43</f>
        <v>0</v>
      </c>
      <c r="P43" s="2"/>
      <c r="Q43" s="2" t="s">
        <v>132</v>
      </c>
      <c r="R43" s="41">
        <v>0</v>
      </c>
      <c r="S43" s="18">
        <v>0</v>
      </c>
      <c r="T43" s="44">
        <f t="shared" si="17"/>
        <v>0</v>
      </c>
      <c r="U43" s="19">
        <f t="shared" si="18"/>
        <v>0</v>
      </c>
    </row>
    <row r="44" spans="2:21" x14ac:dyDescent="0.25">
      <c r="B44" s="2"/>
      <c r="C44" s="7" t="s">
        <v>36</v>
      </c>
      <c r="D44" s="7"/>
      <c r="E44" s="7"/>
      <c r="F44" s="7"/>
      <c r="G44" s="7"/>
      <c r="H44" s="2"/>
      <c r="I44" s="14" t="s">
        <v>82</v>
      </c>
      <c r="J44" s="15">
        <f>J40+J41+J42+J43</f>
        <v>5428</v>
      </c>
      <c r="K44" s="15">
        <f t="shared" ref="K44:O44" si="19">K40+K41+K42+K43</f>
        <v>5560</v>
      </c>
      <c r="L44" s="15">
        <f t="shared" si="19"/>
        <v>7130</v>
      </c>
      <c r="M44" s="15">
        <f t="shared" si="19"/>
        <v>3502</v>
      </c>
      <c r="N44" s="15">
        <f t="shared" si="19"/>
        <v>3601</v>
      </c>
      <c r="O44" s="15">
        <f t="shared" si="19"/>
        <v>7229</v>
      </c>
      <c r="P44" s="2"/>
      <c r="Q44" s="2" t="s">
        <v>133</v>
      </c>
      <c r="R44" s="41">
        <v>0</v>
      </c>
      <c r="S44" s="18">
        <v>0</v>
      </c>
      <c r="T44" s="44">
        <f t="shared" si="17"/>
        <v>0</v>
      </c>
      <c r="U44" s="19">
        <f t="shared" si="18"/>
        <v>0</v>
      </c>
    </row>
    <row r="45" spans="2:21" x14ac:dyDescent="0.25">
      <c r="B45" s="2"/>
      <c r="C45" s="2" t="s">
        <v>37</v>
      </c>
      <c r="D45" s="2"/>
      <c r="E45" s="2"/>
      <c r="F45" s="2"/>
      <c r="G45" s="34">
        <f>IF(U26&lt;=0,"NM",U21/(U21+U26))</f>
        <v>0.36585365853658536</v>
      </c>
      <c r="H45" s="2"/>
      <c r="I45" s="6" t="s">
        <v>74</v>
      </c>
      <c r="J45" s="27">
        <f>IFERROR(J44/J11,0)</f>
        <v>0.27966407336802512</v>
      </c>
      <c r="K45" s="27">
        <f t="shared" ref="K45:O45" si="20">IFERROR(K44/K11,0)</f>
        <v>0.25854452452917925</v>
      </c>
      <c r="L45" s="27">
        <f t="shared" si="20"/>
        <v>0.29997054987588878</v>
      </c>
      <c r="M45" s="27">
        <f t="shared" si="20"/>
        <v>0.30223526365754727</v>
      </c>
      <c r="N45" s="27">
        <f t="shared" si="20"/>
        <v>0.27665949600491702</v>
      </c>
      <c r="O45" s="27">
        <f t="shared" si="20"/>
        <v>0.28688784824192398</v>
      </c>
      <c r="P45" s="2"/>
      <c r="Q45" s="2" t="s">
        <v>134</v>
      </c>
      <c r="R45" s="41">
        <v>0</v>
      </c>
      <c r="S45" s="18">
        <v>0</v>
      </c>
      <c r="T45" s="44">
        <f t="shared" si="17"/>
        <v>0</v>
      </c>
      <c r="U45" s="19">
        <f t="shared" si="18"/>
        <v>0</v>
      </c>
    </row>
    <row r="46" spans="2:21" x14ac:dyDescent="0.25">
      <c r="B46" s="2"/>
      <c r="C46" s="2" t="s">
        <v>38</v>
      </c>
      <c r="D46" s="2"/>
      <c r="E46" s="2"/>
      <c r="F46" s="2"/>
      <c r="G46" s="34">
        <f>IF(U21+U26&lt;=0,"NM",O35*(1-G15)/(U21+U26))</f>
        <v>0.4085569874643934</v>
      </c>
      <c r="H46" s="2"/>
      <c r="I46" s="2" t="s">
        <v>83</v>
      </c>
      <c r="J46" s="23">
        <f>IFERROR(J44/J24,0)</f>
        <v>11.825708061002178</v>
      </c>
      <c r="K46" s="23">
        <f t="shared" ref="K46:O46" si="21">IFERROR(K44/K24,0)</f>
        <v>12.355555555555556</v>
      </c>
      <c r="L46" s="23">
        <f t="shared" si="21"/>
        <v>16.697892271662763</v>
      </c>
      <c r="M46" s="23">
        <f t="shared" si="21"/>
        <v>8.0877598152424941</v>
      </c>
      <c r="N46" s="23">
        <f t="shared" si="21"/>
        <v>8.8476658476658478</v>
      </c>
      <c r="O46" s="23">
        <f t="shared" si="21"/>
        <v>17.761670761670761</v>
      </c>
      <c r="P46" s="2"/>
      <c r="Q46" s="14" t="s">
        <v>124</v>
      </c>
      <c r="R46" s="15">
        <f>SUM(R41:R45)</f>
        <v>0</v>
      </c>
      <c r="S46" s="43"/>
      <c r="T46" s="43"/>
      <c r="U46" s="31">
        <f>SUM(U41:U45)</f>
        <v>0</v>
      </c>
    </row>
    <row r="47" spans="2:21" x14ac:dyDescent="0.25">
      <c r="B47" s="2"/>
      <c r="C47" s="2" t="s">
        <v>39</v>
      </c>
      <c r="D47" s="2"/>
      <c r="E47" s="2"/>
      <c r="F47" s="2"/>
      <c r="G47" s="34">
        <f>IF(U26&lt;=0,"NM",O44/U26)</f>
        <v>0.62762632401458585</v>
      </c>
      <c r="H47" s="2"/>
      <c r="I47" s="2"/>
      <c r="J47" s="2"/>
      <c r="K47" s="2"/>
      <c r="L47" s="2"/>
      <c r="M47" s="2"/>
      <c r="N47" s="2"/>
      <c r="O47" s="2"/>
      <c r="P47" s="2"/>
      <c r="Q47" s="14"/>
      <c r="R47" s="33"/>
      <c r="S47" s="2"/>
      <c r="T47" s="2"/>
      <c r="U47" s="32"/>
    </row>
    <row r="48" spans="2:21" x14ac:dyDescent="0.25">
      <c r="B48" s="2"/>
      <c r="C48" s="2" t="s">
        <v>40</v>
      </c>
      <c r="D48" s="2"/>
      <c r="E48" s="2"/>
      <c r="F48" s="2"/>
      <c r="G48" s="34">
        <f>IFERROR(O44/U16,"NM")</f>
        <v>0.24150603013396585</v>
      </c>
      <c r="H48" s="2"/>
      <c r="I48" s="7" t="s">
        <v>84</v>
      </c>
      <c r="J48" s="7"/>
      <c r="K48" s="7"/>
      <c r="L48" s="7"/>
      <c r="M48" s="7"/>
      <c r="N48" s="7"/>
      <c r="O48" s="7"/>
      <c r="P48" s="2"/>
      <c r="Q48" s="2"/>
      <c r="R48" s="2"/>
      <c r="S48" s="2"/>
      <c r="T48" s="2"/>
      <c r="U48" s="2"/>
    </row>
    <row r="49" spans="2:21" x14ac:dyDescent="0.25">
      <c r="B49" s="2"/>
      <c r="C49" s="2" t="s">
        <v>41</v>
      </c>
      <c r="D49" s="2"/>
      <c r="E49" s="2"/>
      <c r="F49" s="2"/>
      <c r="G49" s="35">
        <f>G21*4</f>
        <v>0</v>
      </c>
      <c r="H49" s="2"/>
      <c r="I49" s="2" t="s">
        <v>85</v>
      </c>
      <c r="J49" s="41">
        <v>7302</v>
      </c>
      <c r="K49" s="41">
        <v>8056</v>
      </c>
      <c r="L49" s="41">
        <v>10031</v>
      </c>
      <c r="M49" s="41">
        <v>4673</v>
      </c>
      <c r="N49" s="41">
        <v>5123</v>
      </c>
      <c r="O49" s="41">
        <f>L49+N49-M49</f>
        <v>10481</v>
      </c>
      <c r="P49" s="2"/>
      <c r="Q49" s="7" t="s">
        <v>141</v>
      </c>
      <c r="R49" s="7"/>
      <c r="S49" s="7"/>
      <c r="T49" s="7"/>
      <c r="U49" s="7"/>
    </row>
    <row r="50" spans="2:21" x14ac:dyDescent="0.25">
      <c r="B50" s="2"/>
      <c r="C50" s="2"/>
      <c r="D50" s="2"/>
      <c r="E50" s="2"/>
      <c r="F50" s="2"/>
      <c r="G50" s="2"/>
      <c r="H50" s="2"/>
      <c r="I50" s="2" t="s">
        <v>86</v>
      </c>
      <c r="J50" s="41">
        <v>360</v>
      </c>
      <c r="K50" s="41">
        <v>183</v>
      </c>
      <c r="L50" s="41">
        <v>179</v>
      </c>
      <c r="M50" s="41">
        <v>73</v>
      </c>
      <c r="N50" s="41">
        <v>95</v>
      </c>
      <c r="O50" s="41">
        <f>L50+N50-M50</f>
        <v>201</v>
      </c>
      <c r="P50" s="2"/>
      <c r="Q50" s="2" t="s">
        <v>135</v>
      </c>
      <c r="R50" s="2"/>
      <c r="S50" s="2"/>
      <c r="T50" s="2"/>
      <c r="U50" s="42">
        <v>399</v>
      </c>
    </row>
    <row r="51" spans="2:21" x14ac:dyDescent="0.25">
      <c r="B51" s="2"/>
      <c r="C51" s="7" t="s">
        <v>42</v>
      </c>
      <c r="D51" s="7"/>
      <c r="E51" s="7"/>
      <c r="F51" s="7"/>
      <c r="G51" s="7"/>
      <c r="H51" s="2"/>
      <c r="I51" s="14" t="s">
        <v>87</v>
      </c>
      <c r="J51" s="15">
        <f>J49-J50</f>
        <v>6942</v>
      </c>
      <c r="K51" s="15">
        <f t="shared" ref="K51:O51" si="22">K49-K50</f>
        <v>7873</v>
      </c>
      <c r="L51" s="15">
        <f t="shared" si="22"/>
        <v>9852</v>
      </c>
      <c r="M51" s="15">
        <f t="shared" si="22"/>
        <v>4600</v>
      </c>
      <c r="N51" s="15">
        <f t="shared" si="22"/>
        <v>5028</v>
      </c>
      <c r="O51" s="15">
        <f t="shared" si="22"/>
        <v>10280</v>
      </c>
      <c r="P51" s="2"/>
      <c r="Q51" s="2" t="s">
        <v>136</v>
      </c>
      <c r="R51" s="2"/>
      <c r="S51" s="2"/>
      <c r="T51" s="2"/>
      <c r="U51" s="19">
        <f>T37</f>
        <v>0</v>
      </c>
    </row>
    <row r="52" spans="2:21" x14ac:dyDescent="0.25">
      <c r="B52" s="2"/>
      <c r="C52" s="2"/>
      <c r="D52" s="36" t="s">
        <v>43</v>
      </c>
      <c r="E52" s="36" t="s">
        <v>44</v>
      </c>
      <c r="F52" s="36" t="s">
        <v>45</v>
      </c>
      <c r="G52" s="36" t="s">
        <v>46</v>
      </c>
      <c r="H52" s="2"/>
      <c r="I52" s="6" t="s">
        <v>74</v>
      </c>
      <c r="J52" s="27">
        <f>IFERROR(J51/J11,0)</f>
        <v>0.35766912257200267</v>
      </c>
      <c r="K52" s="27">
        <f t="shared" ref="K52:O52" si="23">IFERROR(K51/K11,0)</f>
        <v>0.36610090676586843</v>
      </c>
      <c r="L52" s="27">
        <f t="shared" si="23"/>
        <v>0.41448946106272877</v>
      </c>
      <c r="M52" s="27">
        <f t="shared" si="23"/>
        <v>0.39699663415897124</v>
      </c>
      <c r="N52" s="27">
        <f t="shared" si="23"/>
        <v>0.38629379225568533</v>
      </c>
      <c r="O52" s="27">
        <f t="shared" si="23"/>
        <v>0.40796888641955709</v>
      </c>
      <c r="P52" s="2"/>
      <c r="Q52" s="2" t="s">
        <v>137</v>
      </c>
      <c r="R52" s="2"/>
      <c r="S52" s="2"/>
      <c r="T52" s="2"/>
      <c r="U52" s="37">
        <f>-IFERROR(U37/G18,0)</f>
        <v>0</v>
      </c>
    </row>
    <row r="53" spans="2:21" x14ac:dyDescent="0.25">
      <c r="B53" s="2"/>
      <c r="C53" s="38" t="s">
        <v>47</v>
      </c>
      <c r="D53" s="2"/>
      <c r="E53" s="2"/>
      <c r="F53" s="2"/>
      <c r="G53" s="2"/>
      <c r="H53" s="2"/>
      <c r="I53" s="2" t="s">
        <v>88</v>
      </c>
      <c r="J53" s="23">
        <f>IFERROR(J51/J24,0)</f>
        <v>15.124183006535947</v>
      </c>
      <c r="K53" s="23">
        <f t="shared" ref="K53:O53" si="24">IFERROR(K51/K24,0)</f>
        <v>17.495555555555555</v>
      </c>
      <c r="L53" s="23">
        <f t="shared" si="24"/>
        <v>23.072599531615925</v>
      </c>
      <c r="M53" s="23">
        <f t="shared" si="24"/>
        <v>10.623556581986143</v>
      </c>
      <c r="N53" s="23">
        <f t="shared" si="24"/>
        <v>12.353808353808354</v>
      </c>
      <c r="O53" s="23">
        <f t="shared" si="24"/>
        <v>25.257985257985258</v>
      </c>
      <c r="P53" s="2"/>
      <c r="Q53" s="2" t="s">
        <v>138</v>
      </c>
      <c r="R53" s="2"/>
      <c r="S53" s="2"/>
      <c r="T53" s="2"/>
      <c r="U53" s="19">
        <f>U51+U52</f>
        <v>0</v>
      </c>
    </row>
    <row r="54" spans="2:21" x14ac:dyDescent="0.25">
      <c r="B54" s="2"/>
      <c r="C54" s="2" t="s">
        <v>48</v>
      </c>
      <c r="D54" s="34">
        <f>IFERROR(L11/K11-1,"NA")</f>
        <v>0.10527784236224136</v>
      </c>
      <c r="E54" s="34">
        <f>IF(OR(K38&lt;=0,L38&lt;=0),"NM",L38/K38-1)</f>
        <v>0.25348775993682549</v>
      </c>
      <c r="F54" s="34">
        <f>IF(OR(K51&lt;=0,L51&lt;=0),"NM",L51/K51-1)</f>
        <v>0.25136542613997204</v>
      </c>
      <c r="G54" s="34">
        <f>IF(OR(K46&lt;=0,L46&lt;=0),"NM",L46/K46-1)</f>
        <v>0.35144811551227395</v>
      </c>
      <c r="H54" s="2"/>
      <c r="I54" s="2" t="s">
        <v>78</v>
      </c>
      <c r="J54" s="25">
        <f>J37</f>
        <v>872</v>
      </c>
      <c r="K54" s="25">
        <f t="shared" ref="K54:O54" si="25">K37</f>
        <v>857</v>
      </c>
      <c r="L54" s="25">
        <f t="shared" si="25"/>
        <v>818</v>
      </c>
      <c r="M54" s="25">
        <f t="shared" si="25"/>
        <v>426</v>
      </c>
      <c r="N54" s="25">
        <f t="shared" si="25"/>
        <v>367</v>
      </c>
      <c r="O54" s="25">
        <f t="shared" si="25"/>
        <v>759</v>
      </c>
      <c r="P54" s="2"/>
      <c r="Q54" s="2" t="s">
        <v>139</v>
      </c>
      <c r="R54" s="2"/>
      <c r="S54" s="2"/>
      <c r="T54" s="2"/>
      <c r="U54" s="19">
        <f>U46</f>
        <v>0</v>
      </c>
    </row>
    <row r="55" spans="2:21" ht="14.4" thickBot="1" x14ac:dyDescent="0.3">
      <c r="B55" s="2"/>
      <c r="C55" s="2" t="s">
        <v>49</v>
      </c>
      <c r="D55" s="34">
        <f>IFERROR((L11/J11)^(1/2)-1,"NA")</f>
        <v>0.10663365867426688</v>
      </c>
      <c r="E55" s="34">
        <f>IF(OR(J38&lt;=0,L38&lt;=0),"NM",(L38/J38)^(1/2)-1)</f>
        <v>0.12523447289190037</v>
      </c>
      <c r="F55" s="34">
        <f>IF(OR(J51&lt;=0,L51&lt;=0),"NM",(L51/J51)^(1/2)-1)</f>
        <v>0.19129658524609838</v>
      </c>
      <c r="G55" s="34">
        <f>IF(OR(J46&lt;=0,L46&lt;=0),"NM",(L46/J46)^(1/2)-1)</f>
        <v>0.18827579496636604</v>
      </c>
      <c r="H55" s="2"/>
      <c r="I55" s="6" t="s">
        <v>89</v>
      </c>
      <c r="J55" s="27">
        <f>IFERROR(J54/J11,0)</f>
        <v>4.4927610902158792E-2</v>
      </c>
      <c r="K55" s="27">
        <f t="shared" ref="K55:O55" si="26">IFERROR(K54/K11,0)</f>
        <v>3.9851197395954427E-2</v>
      </c>
      <c r="L55" s="27">
        <f t="shared" si="26"/>
        <v>3.4414573604274475E-2</v>
      </c>
      <c r="M55" s="27">
        <f t="shared" si="26"/>
        <v>3.6765340467765598E-2</v>
      </c>
      <c r="N55" s="27">
        <f t="shared" si="26"/>
        <v>2.8196066379840196E-2</v>
      </c>
      <c r="O55" s="27">
        <f t="shared" si="26"/>
        <v>3.0121438209381696E-2</v>
      </c>
      <c r="P55" s="2"/>
      <c r="Q55" s="14" t="s">
        <v>18</v>
      </c>
      <c r="R55" s="2"/>
      <c r="S55" s="2"/>
      <c r="T55" s="2"/>
      <c r="U55" s="39">
        <f>U50+U53+U54</f>
        <v>399</v>
      </c>
    </row>
    <row r="56" spans="2:21" ht="14.4" thickTop="1" x14ac:dyDescent="0.25">
      <c r="B56" s="2"/>
      <c r="C56" s="38" t="s">
        <v>50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2:21" x14ac:dyDescent="0.25">
      <c r="B57" s="2"/>
      <c r="C57" s="2" t="s">
        <v>48</v>
      </c>
      <c r="D57" s="34">
        <f>IFERROR(E34/L11-1,"NA")</f>
        <v>0.11573898775716263</v>
      </c>
      <c r="E57" s="30" t="s">
        <v>9</v>
      </c>
      <c r="F57" s="34">
        <f>E42/L51-1</f>
        <v>5.2578156719447877E-2</v>
      </c>
      <c r="G57" s="34">
        <v>0.16600000000000001</v>
      </c>
      <c r="H57" s="2"/>
      <c r="I57" s="7" t="s">
        <v>90</v>
      </c>
      <c r="J57" s="7"/>
      <c r="K57" s="7"/>
      <c r="L57" s="7"/>
      <c r="M57" s="7"/>
      <c r="N57" s="7"/>
      <c r="O57" s="7"/>
      <c r="P57" s="40"/>
      <c r="Q57" s="40"/>
      <c r="R57" s="40"/>
      <c r="S57" s="40"/>
      <c r="T57" s="40"/>
      <c r="U57" s="40"/>
    </row>
    <row r="58" spans="2:21" x14ac:dyDescent="0.25">
      <c r="B58" s="2"/>
      <c r="C58" s="2" t="s">
        <v>49</v>
      </c>
      <c r="D58" s="34">
        <f>(F34/L11)^(1/2)-1</f>
        <v>0.10247389705001075</v>
      </c>
      <c r="E58" s="30" t="s">
        <v>9</v>
      </c>
      <c r="F58" s="30" t="s">
        <v>9</v>
      </c>
      <c r="G58" s="34">
        <v>0.14699999999999999</v>
      </c>
      <c r="H58" s="2"/>
      <c r="I58" s="2" t="s">
        <v>91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2:21" x14ac:dyDescent="0.25">
      <c r="B59" s="2"/>
      <c r="C59" s="2" t="s">
        <v>51</v>
      </c>
      <c r="D59" s="34">
        <v>0.10199999999999999</v>
      </c>
      <c r="E59" s="30" t="s">
        <v>9</v>
      </c>
      <c r="F59" s="30" t="s">
        <v>9</v>
      </c>
      <c r="G59" s="30" t="s">
        <v>9</v>
      </c>
      <c r="H59" s="2"/>
      <c r="I59" s="2" t="s">
        <v>92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2:2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2:2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2:2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2:2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2:2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2:2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2:2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2:2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2:2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2:2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2:2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2:2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2:2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2:2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2:2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2:2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2:2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2:2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2:2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2:2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2:2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2:2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2:2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2:2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2:2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2:2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2:2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2:2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2:2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2:2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2:2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2:2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2:2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2:2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2:2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2:2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2:2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2:2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2:2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2:2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2:2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2:2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2:2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2:2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2:2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2:2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2:2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2:2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2:2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2:2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2:2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2:2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2:2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2:2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2:2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2:2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2:2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2:2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2:2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2:2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2:2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2:2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2:2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2:2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2:2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2:2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2:2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2:2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2:2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2:2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2:2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2:2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2:2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2:2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2:2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2:2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2:2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2:2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2:2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2:2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2:2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2:2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2:2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2:2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2:2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2:2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2:2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2:2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2:2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2:2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2:2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2:2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2:2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2:2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2:2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2:2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2:2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2:2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2:2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2:2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2:2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2:2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2:2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2:2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2:2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2:2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2:2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2:2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2:2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2:2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2:2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2:2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2:2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2:2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2:2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2:2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2:2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2:2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2:2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2:2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2:2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2:2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2:2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2:2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2:2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2:2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2:2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2:2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2:2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2:2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2:2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2:2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2:2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2:2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2:2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2:2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2:2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2:2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2:2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2:2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2:2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2:2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2:2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</sheetData>
  <printOptions horizontalCentered="1"/>
  <pageMargins left="0.5" right="0.5" top="0.6" bottom="0.6" header="0.3" footer="0.3"/>
  <pageSetup scale="46" fitToHeight="0" orientation="landscape" r:id="rId1"/>
  <headerFooter>
    <oddHeader>&amp;L&amp;"Times New Roman"&amp;9 Adobe Inc. (ADBE) — Trading Comparables&amp;R&amp;"Times New Roman"&amp;9&amp;A</oddHeader>
    <oddFooter>&amp;L&amp;"Times New Roman"&amp;8 Confidential&amp;C&amp;"Times New Roman"&amp;8 Page &amp;P of &amp;N&amp;R&amp;"Times New Roman"&amp;8 &amp;D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F9472-7097-4B81-A8D6-4AA7A7161D02}">
  <sheetPr>
    <pageSetUpPr fitToPage="1"/>
  </sheetPr>
  <dimension ref="B3:U202"/>
  <sheetViews>
    <sheetView showGridLines="0" zoomScale="99" workbookViewId="0">
      <selection activeCell="Q59" sqref="Q59"/>
    </sheetView>
  </sheetViews>
  <sheetFormatPr defaultRowHeight="13.8" x14ac:dyDescent="0.25"/>
  <cols>
    <col min="1" max="1" width="8.88671875" style="1"/>
    <col min="2" max="2" width="2.5546875" style="1" customWidth="1"/>
    <col min="3" max="3" width="37" style="1" customWidth="1"/>
    <col min="4" max="7" width="11.109375" style="1" customWidth="1"/>
    <col min="8" max="8" width="2.21875" style="1" customWidth="1"/>
    <col min="9" max="9" width="38" style="1" customWidth="1"/>
    <col min="10" max="15" width="10.33203125" style="1" customWidth="1"/>
    <col min="16" max="16" width="2.21875" style="1" customWidth="1"/>
    <col min="17" max="17" width="38" style="1" customWidth="1"/>
    <col min="18" max="21" width="11.44140625" style="1" customWidth="1"/>
    <col min="22" max="16384" width="8.88671875" style="1"/>
  </cols>
  <sheetData>
    <row r="3" spans="2:21" ht="22.05" customHeight="1" x14ac:dyDescent="0.3">
      <c r="B3" s="2"/>
      <c r="C3" s="3" t="s">
        <v>172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1" ht="14.4" x14ac:dyDescent="0.3">
      <c r="B4" s="2"/>
      <c r="C4" s="5" t="s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2:21" x14ac:dyDescent="0.25">
      <c r="B5" s="2"/>
      <c r="C5" s="6" t="s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21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21" x14ac:dyDescent="0.25">
      <c r="B7" s="2"/>
      <c r="C7" s="7" t="s">
        <v>2</v>
      </c>
      <c r="D7" s="7"/>
      <c r="E7" s="7"/>
      <c r="F7" s="7"/>
      <c r="G7" s="7"/>
      <c r="H7" s="2"/>
      <c r="I7" s="7" t="s">
        <v>52</v>
      </c>
      <c r="J7" s="7"/>
      <c r="K7" s="7"/>
      <c r="L7" s="7"/>
      <c r="M7" s="7"/>
      <c r="N7" s="7"/>
      <c r="O7" s="7"/>
      <c r="P7" s="2"/>
      <c r="Q7" s="7" t="s">
        <v>93</v>
      </c>
      <c r="R7" s="7"/>
      <c r="S7" s="7"/>
      <c r="T7" s="8" t="s">
        <v>153</v>
      </c>
      <c r="U7" s="50">
        <f>DATE(2026,4,30)</f>
        <v>46142</v>
      </c>
    </row>
    <row r="8" spans="2:21" x14ac:dyDescent="0.25">
      <c r="B8" s="2"/>
      <c r="C8" s="2" t="s">
        <v>3</v>
      </c>
      <c r="D8" s="2"/>
      <c r="E8" s="2"/>
      <c r="F8" s="2"/>
      <c r="G8" s="9" t="s">
        <v>157</v>
      </c>
      <c r="H8" s="2"/>
      <c r="I8" s="2"/>
      <c r="J8" s="10" t="s">
        <v>53</v>
      </c>
      <c r="K8" s="2"/>
      <c r="L8" s="2"/>
      <c r="M8" s="2"/>
      <c r="N8" s="2"/>
      <c r="O8" s="2"/>
      <c r="P8" s="2"/>
      <c r="Q8" s="2" t="s">
        <v>94</v>
      </c>
      <c r="R8" s="2"/>
      <c r="S8" s="2"/>
      <c r="T8" s="41">
        <v>2597</v>
      </c>
      <c r="U8" s="41">
        <v>2924</v>
      </c>
    </row>
    <row r="9" spans="2:21" x14ac:dyDescent="0.25">
      <c r="B9" s="2"/>
      <c r="C9" s="2" t="s">
        <v>4</v>
      </c>
      <c r="D9" s="2"/>
      <c r="E9" s="2"/>
      <c r="F9" s="2"/>
      <c r="G9" s="9" t="s">
        <v>158</v>
      </c>
      <c r="H9" s="2"/>
      <c r="I9" s="2"/>
      <c r="J9" s="11" t="s">
        <v>151</v>
      </c>
      <c r="K9" s="11" t="s">
        <v>152</v>
      </c>
      <c r="L9" s="11" t="s">
        <v>153</v>
      </c>
      <c r="M9" s="11" t="s">
        <v>54</v>
      </c>
      <c r="N9" s="11" t="s">
        <v>55</v>
      </c>
      <c r="O9" s="11" t="s">
        <v>26</v>
      </c>
      <c r="P9" s="2"/>
      <c r="Q9" s="2" t="s">
        <v>95</v>
      </c>
      <c r="R9" s="2"/>
      <c r="S9" s="2"/>
      <c r="T9" s="41">
        <v>1439</v>
      </c>
      <c r="U9" s="41">
        <v>579</v>
      </c>
    </row>
    <row r="10" spans="2:21" x14ac:dyDescent="0.25">
      <c r="B10" s="2"/>
      <c r="C10" s="2" t="s">
        <v>5</v>
      </c>
      <c r="D10" s="2"/>
      <c r="E10" s="2"/>
      <c r="F10" s="2"/>
      <c r="G10" s="9" t="s">
        <v>6</v>
      </c>
      <c r="H10" s="2"/>
      <c r="I10" s="2"/>
      <c r="J10" s="12"/>
      <c r="K10" s="12"/>
      <c r="L10" s="12"/>
      <c r="M10" s="49">
        <f>DATE(2025,4,30)</f>
        <v>45777</v>
      </c>
      <c r="N10" s="49">
        <f>DATE(2026,4,30)</f>
        <v>46142</v>
      </c>
      <c r="O10" s="49">
        <f>DATE(2026,4,30)</f>
        <v>46142</v>
      </c>
      <c r="P10" s="2"/>
      <c r="Q10" s="2" t="s">
        <v>96</v>
      </c>
      <c r="R10" s="2"/>
      <c r="S10" s="2"/>
      <c r="T10" s="41">
        <v>0</v>
      </c>
      <c r="U10" s="41">
        <v>0</v>
      </c>
    </row>
    <row r="11" spans="2:21" x14ac:dyDescent="0.25">
      <c r="B11" s="2"/>
      <c r="C11" s="2" t="s">
        <v>7</v>
      </c>
      <c r="D11" s="2"/>
      <c r="E11" s="2"/>
      <c r="F11" s="2"/>
      <c r="G11" s="13" t="s">
        <v>159</v>
      </c>
      <c r="H11" s="2"/>
      <c r="I11" s="2" t="s">
        <v>43</v>
      </c>
      <c r="J11" s="41">
        <v>5497</v>
      </c>
      <c r="K11" s="41">
        <v>6131</v>
      </c>
      <c r="L11" s="41">
        <v>7206</v>
      </c>
      <c r="M11" s="41">
        <v>1633</v>
      </c>
      <c r="N11" s="41">
        <v>1934</v>
      </c>
      <c r="O11" s="41">
        <f>L11+N11-M11</f>
        <v>7507</v>
      </c>
      <c r="P11" s="2"/>
      <c r="Q11" s="2" t="s">
        <v>97</v>
      </c>
      <c r="R11" s="2"/>
      <c r="S11" s="2"/>
      <c r="T11" s="41">
        <v>906</v>
      </c>
      <c r="U11" s="41">
        <v>871</v>
      </c>
    </row>
    <row r="12" spans="2:21" x14ac:dyDescent="0.25">
      <c r="B12" s="2"/>
      <c r="C12" s="2" t="s">
        <v>8</v>
      </c>
      <c r="D12" s="2"/>
      <c r="E12" s="2"/>
      <c r="F12" s="2"/>
      <c r="G12" s="9" t="s">
        <v>9</v>
      </c>
      <c r="H12" s="2"/>
      <c r="I12" s="2" t="s">
        <v>56</v>
      </c>
      <c r="J12" s="41">
        <v>511</v>
      </c>
      <c r="K12" s="41">
        <v>578</v>
      </c>
      <c r="L12" s="41">
        <v>650</v>
      </c>
      <c r="M12" s="41">
        <v>160</v>
      </c>
      <c r="N12" s="41">
        <v>175</v>
      </c>
      <c r="O12" s="41">
        <f>L12+N12-M12</f>
        <v>665</v>
      </c>
      <c r="P12" s="2"/>
      <c r="Q12" s="14" t="s">
        <v>98</v>
      </c>
      <c r="R12" s="2"/>
      <c r="S12" s="2"/>
      <c r="T12" s="15">
        <f>SUM(T8:T11)</f>
        <v>4942</v>
      </c>
      <c r="U12" s="15">
        <f>SUM(U8:U11)</f>
        <v>4374</v>
      </c>
    </row>
    <row r="13" spans="2:21" x14ac:dyDescent="0.25">
      <c r="B13" s="2"/>
      <c r="C13" s="2" t="s">
        <v>10</v>
      </c>
      <c r="D13" s="2"/>
      <c r="E13" s="2"/>
      <c r="F13" s="2"/>
      <c r="G13" s="9" t="s">
        <v>9</v>
      </c>
      <c r="H13" s="2"/>
      <c r="I13" s="14" t="s">
        <v>57</v>
      </c>
      <c r="J13" s="15">
        <f>J11-J12</f>
        <v>4986</v>
      </c>
      <c r="K13" s="15">
        <f t="shared" ref="K13:O13" si="0">K11-K12</f>
        <v>5553</v>
      </c>
      <c r="L13" s="15">
        <f t="shared" si="0"/>
        <v>6556</v>
      </c>
      <c r="M13" s="15">
        <f t="shared" si="0"/>
        <v>1473</v>
      </c>
      <c r="N13" s="15">
        <f t="shared" si="0"/>
        <v>1759</v>
      </c>
      <c r="O13" s="15">
        <f t="shared" si="0"/>
        <v>6842</v>
      </c>
      <c r="P13" s="2"/>
      <c r="Q13" s="2" t="s">
        <v>99</v>
      </c>
      <c r="R13" s="2"/>
      <c r="S13" s="2"/>
      <c r="T13" s="41">
        <v>121</v>
      </c>
      <c r="U13" s="41">
        <v>120</v>
      </c>
    </row>
    <row r="14" spans="2:21" x14ac:dyDescent="0.25">
      <c r="B14" s="2"/>
      <c r="C14" s="2" t="s">
        <v>11</v>
      </c>
      <c r="D14" s="2"/>
      <c r="E14" s="2"/>
      <c r="F14" s="2"/>
      <c r="G14" s="16">
        <v>1.32</v>
      </c>
      <c r="H14" s="2"/>
      <c r="I14" s="2" t="s">
        <v>58</v>
      </c>
      <c r="J14" s="41">
        <v>3858</v>
      </c>
      <c r="K14" s="41">
        <v>4199</v>
      </c>
      <c r="L14" s="41">
        <v>4978</v>
      </c>
      <c r="M14" s="41">
        <v>1240</v>
      </c>
      <c r="N14" s="41">
        <v>1218</v>
      </c>
      <c r="O14" s="41">
        <f>L14+N14-M14</f>
        <v>4956</v>
      </c>
      <c r="P14" s="2"/>
      <c r="Q14" s="2" t="s">
        <v>100</v>
      </c>
      <c r="R14" s="2"/>
      <c r="S14" s="2"/>
      <c r="T14" s="41">
        <v>4762</v>
      </c>
      <c r="U14" s="41">
        <v>4790</v>
      </c>
    </row>
    <row r="15" spans="2:21" x14ac:dyDescent="0.25">
      <c r="B15" s="2"/>
      <c r="C15" s="2" t="s">
        <v>12</v>
      </c>
      <c r="D15" s="2"/>
      <c r="E15" s="2"/>
      <c r="F15" s="2"/>
      <c r="G15" s="17">
        <f>L23</f>
        <v>0.29881472239550844</v>
      </c>
      <c r="H15" s="2"/>
      <c r="I15" s="14" t="s">
        <v>59</v>
      </c>
      <c r="J15" s="15">
        <f>J13-J14</f>
        <v>1128</v>
      </c>
      <c r="K15" s="15">
        <f t="shared" ref="K15:O15" si="1">K13-K14</f>
        <v>1354</v>
      </c>
      <c r="L15" s="15">
        <f t="shared" si="1"/>
        <v>1578</v>
      </c>
      <c r="M15" s="15">
        <f t="shared" si="1"/>
        <v>233</v>
      </c>
      <c r="N15" s="15">
        <f t="shared" si="1"/>
        <v>541</v>
      </c>
      <c r="O15" s="15">
        <f t="shared" si="1"/>
        <v>1886</v>
      </c>
      <c r="P15" s="2"/>
      <c r="Q15" s="2" t="s">
        <v>101</v>
      </c>
      <c r="R15" s="2"/>
      <c r="S15" s="2"/>
      <c r="T15" s="41">
        <v>2642</v>
      </c>
      <c r="U15" s="41">
        <v>2648</v>
      </c>
    </row>
    <row r="16" spans="2:21" x14ac:dyDescent="0.25">
      <c r="B16" s="2"/>
      <c r="C16" s="2"/>
      <c r="D16" s="2"/>
      <c r="E16" s="2"/>
      <c r="F16" s="2"/>
      <c r="G16" s="2"/>
      <c r="H16" s="2"/>
      <c r="I16" s="2" t="s">
        <v>60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f>L16+N16-M16</f>
        <v>0</v>
      </c>
      <c r="P16" s="2"/>
      <c r="Q16" s="14" t="s">
        <v>102</v>
      </c>
      <c r="R16" s="2"/>
      <c r="S16" s="2"/>
      <c r="T16" s="15">
        <f>T12+T13+T14+T15</f>
        <v>12467</v>
      </c>
      <c r="U16" s="15">
        <f>U12+U13+U14+U15</f>
        <v>11932</v>
      </c>
    </row>
    <row r="17" spans="2:21" x14ac:dyDescent="0.25">
      <c r="B17" s="2"/>
      <c r="C17" s="7" t="s">
        <v>13</v>
      </c>
      <c r="D17" s="7"/>
      <c r="E17" s="7"/>
      <c r="F17" s="7"/>
      <c r="G17" s="7"/>
      <c r="H17" s="2"/>
      <c r="I17" s="2" t="s">
        <v>61</v>
      </c>
      <c r="J17" s="41">
        <v>-8</v>
      </c>
      <c r="K17" s="41">
        <v>-30</v>
      </c>
      <c r="L17" s="41">
        <v>-25</v>
      </c>
      <c r="M17" s="41">
        <v>-1</v>
      </c>
      <c r="N17" s="41">
        <v>-58</v>
      </c>
      <c r="O17" s="41">
        <f>L17+N17-M17</f>
        <v>-82</v>
      </c>
      <c r="P17" s="2"/>
      <c r="Q17" s="2" t="s">
        <v>103</v>
      </c>
      <c r="R17" s="2"/>
      <c r="S17" s="2"/>
      <c r="T17" s="41">
        <v>422</v>
      </c>
      <c r="U17" s="41">
        <v>403</v>
      </c>
    </row>
    <row r="18" spans="2:21" x14ac:dyDescent="0.25">
      <c r="B18" s="2"/>
      <c r="C18" s="2" t="s">
        <v>14</v>
      </c>
      <c r="D18" s="2"/>
      <c r="E18" s="2"/>
      <c r="F18" s="2"/>
      <c r="G18" s="18">
        <v>214</v>
      </c>
      <c r="H18" s="2"/>
      <c r="I18" s="14" t="s">
        <v>62</v>
      </c>
      <c r="J18" s="15">
        <f>J15-J16-J17</f>
        <v>1136</v>
      </c>
      <c r="K18" s="15">
        <f t="shared" ref="K18:O18" si="2">K15-K16-K17</f>
        <v>1384</v>
      </c>
      <c r="L18" s="15">
        <f t="shared" si="2"/>
        <v>1603</v>
      </c>
      <c r="M18" s="15">
        <f t="shared" si="2"/>
        <v>234</v>
      </c>
      <c r="N18" s="15">
        <f t="shared" si="2"/>
        <v>599</v>
      </c>
      <c r="O18" s="15">
        <f t="shared" si="2"/>
        <v>1968</v>
      </c>
      <c r="P18" s="2"/>
      <c r="Q18" s="2" t="s">
        <v>104</v>
      </c>
      <c r="R18" s="2"/>
      <c r="S18" s="2"/>
      <c r="T18" s="41">
        <v>659</v>
      </c>
      <c r="U18" s="41">
        <v>360</v>
      </c>
    </row>
    <row r="19" spans="2:21" x14ac:dyDescent="0.25">
      <c r="B19" s="2"/>
      <c r="C19" s="2" t="s">
        <v>15</v>
      </c>
      <c r="D19" s="2"/>
      <c r="E19" s="2"/>
      <c r="F19" s="2"/>
      <c r="G19" s="18">
        <v>329.09</v>
      </c>
      <c r="H19" s="2"/>
      <c r="I19" s="2" t="s">
        <v>63</v>
      </c>
      <c r="J19" s="41">
        <v>230</v>
      </c>
      <c r="K19" s="41">
        <v>272</v>
      </c>
      <c r="L19" s="41">
        <v>479</v>
      </c>
      <c r="M19" s="41">
        <v>82</v>
      </c>
      <c r="N19" s="41">
        <v>108</v>
      </c>
      <c r="O19" s="41">
        <f>L19+N19-M19</f>
        <v>505</v>
      </c>
      <c r="P19" s="2"/>
      <c r="Q19" s="2" t="s">
        <v>105</v>
      </c>
      <c r="R19" s="2"/>
      <c r="S19" s="2"/>
      <c r="T19" s="41">
        <v>4727</v>
      </c>
      <c r="U19" s="41">
        <v>4477</v>
      </c>
    </row>
    <row r="20" spans="2:21" x14ac:dyDescent="0.25">
      <c r="B20" s="2"/>
      <c r="C20" s="2" t="s">
        <v>16</v>
      </c>
      <c r="D20" s="2"/>
      <c r="E20" s="2"/>
      <c r="F20" s="2"/>
      <c r="G20" s="18">
        <v>185.5</v>
      </c>
      <c r="H20" s="2"/>
      <c r="I20" s="2" t="s">
        <v>64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2"/>
      <c r="Q20" s="14" t="s">
        <v>106</v>
      </c>
      <c r="R20" s="2"/>
      <c r="S20" s="2"/>
      <c r="T20" s="15">
        <f>SUM(T17:T19)</f>
        <v>5808</v>
      </c>
      <c r="U20" s="15">
        <f>SUM(U17:U19)</f>
        <v>5240</v>
      </c>
    </row>
    <row r="21" spans="2:21" x14ac:dyDescent="0.25">
      <c r="B21" s="2"/>
      <c r="C21" s="2" t="s">
        <v>17</v>
      </c>
      <c r="D21" s="2"/>
      <c r="E21" s="2"/>
      <c r="F21" s="2"/>
      <c r="G21" s="18">
        <v>0</v>
      </c>
      <c r="H21" s="2"/>
      <c r="I21" s="2" t="s">
        <v>65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2"/>
      <c r="Q21" s="2" t="s">
        <v>107</v>
      </c>
      <c r="R21" s="2"/>
      <c r="S21" s="2"/>
      <c r="T21" s="41">
        <v>2483</v>
      </c>
      <c r="U21" s="41">
        <v>2483</v>
      </c>
    </row>
    <row r="22" spans="2:21" x14ac:dyDescent="0.25">
      <c r="B22" s="2"/>
      <c r="C22" s="2" t="s">
        <v>18</v>
      </c>
      <c r="D22" s="2"/>
      <c r="E22" s="2"/>
      <c r="F22" s="2"/>
      <c r="G22" s="19">
        <f>U55</f>
        <v>211</v>
      </c>
      <c r="H22" s="2"/>
      <c r="I22" s="14" t="s">
        <v>66</v>
      </c>
      <c r="J22" s="15">
        <f>J18-J19-J20-J21</f>
        <v>906</v>
      </c>
      <c r="K22" s="15">
        <f t="shared" ref="K22:O22" si="3">K18-K19-K20-K21</f>
        <v>1112</v>
      </c>
      <c r="L22" s="15">
        <f t="shared" si="3"/>
        <v>1124</v>
      </c>
      <c r="M22" s="15">
        <f t="shared" si="3"/>
        <v>152</v>
      </c>
      <c r="N22" s="15">
        <f t="shared" si="3"/>
        <v>491</v>
      </c>
      <c r="O22" s="15">
        <f t="shared" si="3"/>
        <v>1463</v>
      </c>
      <c r="P22" s="2"/>
      <c r="Q22" s="2" t="s">
        <v>108</v>
      </c>
      <c r="R22" s="2"/>
      <c r="S22" s="2"/>
      <c r="T22" s="41">
        <v>1131</v>
      </c>
      <c r="U22" s="41">
        <v>1020</v>
      </c>
    </row>
    <row r="23" spans="2:21" x14ac:dyDescent="0.25">
      <c r="B23" s="2"/>
      <c r="C23" s="14" t="s">
        <v>19</v>
      </c>
      <c r="D23" s="2"/>
      <c r="E23" s="2"/>
      <c r="F23" s="2"/>
      <c r="G23" s="20">
        <f>G18*G22</f>
        <v>45154</v>
      </c>
      <c r="H23" s="2"/>
      <c r="I23" s="2" t="s">
        <v>67</v>
      </c>
      <c r="J23" s="21">
        <f>IFERROR(J19/J18,0)</f>
        <v>0.20246478873239437</v>
      </c>
      <c r="K23" s="21">
        <f t="shared" ref="K23:O23" si="4">IFERROR(K19/K18,0)</f>
        <v>0.19653179190751446</v>
      </c>
      <c r="L23" s="21">
        <f t="shared" si="4"/>
        <v>0.29881472239550844</v>
      </c>
      <c r="M23" s="21">
        <f t="shared" si="4"/>
        <v>0.3504273504273504</v>
      </c>
      <c r="N23" s="21">
        <f t="shared" si="4"/>
        <v>0.18030050083472454</v>
      </c>
      <c r="O23" s="21">
        <f t="shared" si="4"/>
        <v>0.25660569105691056</v>
      </c>
      <c r="P23" s="2"/>
      <c r="Q23" s="14" t="s">
        <v>109</v>
      </c>
      <c r="R23" s="2"/>
      <c r="S23" s="2"/>
      <c r="T23" s="15">
        <f>T20+T21+T22</f>
        <v>9422</v>
      </c>
      <c r="U23" s="15">
        <f>U20+U21+U22</f>
        <v>8743</v>
      </c>
    </row>
    <row r="24" spans="2:21" x14ac:dyDescent="0.25">
      <c r="B24" s="2"/>
      <c r="C24" s="2" t="s">
        <v>20</v>
      </c>
      <c r="D24" s="2"/>
      <c r="E24" s="2"/>
      <c r="F24" s="2"/>
      <c r="G24" s="22">
        <f>U21</f>
        <v>2483</v>
      </c>
      <c r="H24" s="2"/>
      <c r="I24" s="2" t="s">
        <v>68</v>
      </c>
      <c r="J24" s="42">
        <v>216</v>
      </c>
      <c r="K24" s="42">
        <v>217</v>
      </c>
      <c r="L24" s="42">
        <v>215</v>
      </c>
      <c r="M24" s="42">
        <v>217</v>
      </c>
      <c r="N24" s="42">
        <v>214</v>
      </c>
      <c r="O24" s="42">
        <f>N24</f>
        <v>214</v>
      </c>
      <c r="P24" s="2"/>
      <c r="Q24" s="2" t="s">
        <v>64</v>
      </c>
      <c r="R24" s="2"/>
      <c r="S24" s="2"/>
      <c r="T24" s="41">
        <v>0</v>
      </c>
      <c r="U24" s="41">
        <v>0</v>
      </c>
    </row>
    <row r="25" spans="2:21" x14ac:dyDescent="0.25">
      <c r="B25" s="2"/>
      <c r="C25" s="2" t="s">
        <v>21</v>
      </c>
      <c r="D25" s="2"/>
      <c r="E25" s="2"/>
      <c r="F25" s="2"/>
      <c r="G25" s="22">
        <f>U25</f>
        <v>0</v>
      </c>
      <c r="H25" s="2"/>
      <c r="I25" s="2" t="s">
        <v>69</v>
      </c>
      <c r="J25" s="23">
        <f>IFERROR(J22/J24,0)</f>
        <v>4.1944444444444446</v>
      </c>
      <c r="K25" s="23">
        <f t="shared" ref="K25:O25" si="5">IFERROR(K22/K24,0)</f>
        <v>5.1244239631336406</v>
      </c>
      <c r="L25" s="23">
        <f t="shared" si="5"/>
        <v>5.2279069767441859</v>
      </c>
      <c r="M25" s="23">
        <f t="shared" si="5"/>
        <v>0.70046082949308752</v>
      </c>
      <c r="N25" s="23">
        <f t="shared" si="5"/>
        <v>2.2943925233644862</v>
      </c>
      <c r="O25" s="23">
        <f t="shared" si="5"/>
        <v>6.8364485981308407</v>
      </c>
      <c r="P25" s="2"/>
      <c r="Q25" s="2" t="s">
        <v>110</v>
      </c>
      <c r="R25" s="2"/>
      <c r="S25" s="2"/>
      <c r="T25" s="41">
        <v>0</v>
      </c>
      <c r="U25" s="41">
        <v>0</v>
      </c>
    </row>
    <row r="26" spans="2:21" x14ac:dyDescent="0.25">
      <c r="B26" s="2"/>
      <c r="C26" s="2" t="s">
        <v>22</v>
      </c>
      <c r="D26" s="2"/>
      <c r="E26" s="2"/>
      <c r="F26" s="2"/>
      <c r="G26" s="22">
        <f>U24</f>
        <v>0</v>
      </c>
      <c r="H26" s="2"/>
      <c r="I26" s="2"/>
      <c r="J26" s="2"/>
      <c r="K26" s="2"/>
      <c r="L26" s="2"/>
      <c r="M26" s="2"/>
      <c r="N26" s="2"/>
      <c r="O26" s="2"/>
      <c r="P26" s="2"/>
      <c r="Q26" s="2" t="s">
        <v>111</v>
      </c>
      <c r="R26" s="2"/>
      <c r="S26" s="2"/>
      <c r="T26" s="41">
        <v>3045</v>
      </c>
      <c r="U26" s="41">
        <v>3189</v>
      </c>
    </row>
    <row r="27" spans="2:21" x14ac:dyDescent="0.25">
      <c r="B27" s="2"/>
      <c r="C27" s="2" t="s">
        <v>23</v>
      </c>
      <c r="D27" s="2"/>
      <c r="E27" s="2"/>
      <c r="F27" s="2"/>
      <c r="G27" s="22">
        <f>-U8</f>
        <v>-2924</v>
      </c>
      <c r="H27" s="2"/>
      <c r="I27" s="7" t="s">
        <v>70</v>
      </c>
      <c r="J27" s="7"/>
      <c r="K27" s="7"/>
      <c r="L27" s="7"/>
      <c r="M27" s="7"/>
      <c r="N27" s="7"/>
      <c r="O27" s="7"/>
      <c r="P27" s="2"/>
      <c r="Q27" s="14" t="s">
        <v>112</v>
      </c>
      <c r="R27" s="2"/>
      <c r="S27" s="2"/>
      <c r="T27" s="15">
        <f>T23+T24+T25+T26</f>
        <v>12467</v>
      </c>
      <c r="U27" s="15">
        <f>U23+U24+U25+U26</f>
        <v>11932</v>
      </c>
    </row>
    <row r="28" spans="2:21" ht="14.4" thickBot="1" x14ac:dyDescent="0.3">
      <c r="B28" s="2"/>
      <c r="C28" s="14" t="s">
        <v>24</v>
      </c>
      <c r="D28" s="2"/>
      <c r="E28" s="2"/>
      <c r="F28" s="2"/>
      <c r="G28" s="24">
        <f>SUM(G23:G27)</f>
        <v>44713</v>
      </c>
      <c r="H28" s="2"/>
      <c r="I28" s="2" t="s">
        <v>71</v>
      </c>
      <c r="J28" s="25">
        <f>J13</f>
        <v>4986</v>
      </c>
      <c r="K28" s="25">
        <f t="shared" ref="K28:O28" si="6">K13</f>
        <v>5553</v>
      </c>
      <c r="L28" s="25">
        <f t="shared" si="6"/>
        <v>6556</v>
      </c>
      <c r="M28" s="25">
        <f t="shared" si="6"/>
        <v>1473</v>
      </c>
      <c r="N28" s="25">
        <f t="shared" si="6"/>
        <v>1759</v>
      </c>
      <c r="O28" s="25">
        <f t="shared" si="6"/>
        <v>6842</v>
      </c>
      <c r="P28" s="2"/>
      <c r="Q28" s="6" t="s">
        <v>113</v>
      </c>
      <c r="R28" s="2"/>
      <c r="S28" s="2"/>
      <c r="T28" s="26">
        <f>T16-T27</f>
        <v>0</v>
      </c>
      <c r="U28" s="26">
        <f>U16-U27</f>
        <v>0</v>
      </c>
    </row>
    <row r="29" spans="2:21" ht="14.4" thickTop="1" x14ac:dyDescent="0.25">
      <c r="B29" s="2"/>
      <c r="C29" s="2"/>
      <c r="D29" s="2"/>
      <c r="E29" s="2"/>
      <c r="F29" s="2"/>
      <c r="G29" s="2"/>
      <c r="H29" s="2"/>
      <c r="I29" s="2" t="s">
        <v>72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f>L29+N29-M29</f>
        <v>0</v>
      </c>
      <c r="P29" s="2"/>
      <c r="Q29" s="6"/>
      <c r="R29" s="2"/>
      <c r="S29" s="2"/>
      <c r="T29" s="26"/>
      <c r="U29" s="26"/>
    </row>
    <row r="30" spans="2:21" x14ac:dyDescent="0.25">
      <c r="B30" s="2"/>
      <c r="C30" s="7" t="s">
        <v>25</v>
      </c>
      <c r="D30" s="7"/>
      <c r="E30" s="7"/>
      <c r="F30" s="7"/>
      <c r="G30" s="7"/>
      <c r="H30" s="2"/>
      <c r="I30" s="14" t="s">
        <v>73</v>
      </c>
      <c r="J30" s="15">
        <f>J28+J29</f>
        <v>4986</v>
      </c>
      <c r="K30" s="15">
        <f t="shared" ref="K30:O30" si="7">K28+K29</f>
        <v>5553</v>
      </c>
      <c r="L30" s="15">
        <f t="shared" si="7"/>
        <v>6556</v>
      </c>
      <c r="M30" s="15">
        <f t="shared" si="7"/>
        <v>1473</v>
      </c>
      <c r="N30" s="15">
        <f t="shared" si="7"/>
        <v>1759</v>
      </c>
      <c r="O30" s="15">
        <f t="shared" si="7"/>
        <v>6842</v>
      </c>
      <c r="P30" s="2"/>
      <c r="Q30" s="2"/>
      <c r="R30" s="2"/>
      <c r="S30" s="2"/>
      <c r="T30" s="2"/>
      <c r="U30" s="2"/>
    </row>
    <row r="31" spans="2:21" x14ac:dyDescent="0.25">
      <c r="B31" s="2"/>
      <c r="C31" s="2"/>
      <c r="D31" s="11" t="s">
        <v>26</v>
      </c>
      <c r="E31" s="11" t="s">
        <v>27</v>
      </c>
      <c r="F31" s="11" t="s">
        <v>28</v>
      </c>
      <c r="G31" s="11" t="s">
        <v>29</v>
      </c>
      <c r="H31" s="2"/>
      <c r="I31" s="6" t="s">
        <v>74</v>
      </c>
      <c r="J31" s="27">
        <f>IFERROR(J30/J11,0)</f>
        <v>0.90704020374749861</v>
      </c>
      <c r="K31" s="27">
        <f t="shared" ref="K31:O31" si="8">IFERROR(K30/K11,0)</f>
        <v>0.90572500407763823</v>
      </c>
      <c r="L31" s="27">
        <f t="shared" si="8"/>
        <v>0.90979739106300306</v>
      </c>
      <c r="M31" s="27">
        <f t="shared" si="8"/>
        <v>0.90202082057562771</v>
      </c>
      <c r="N31" s="27">
        <f t="shared" si="8"/>
        <v>0.90951396070320578</v>
      </c>
      <c r="O31" s="27">
        <f t="shared" si="8"/>
        <v>0.91141601172239239</v>
      </c>
      <c r="P31" s="2"/>
      <c r="Q31" s="7" t="s">
        <v>114</v>
      </c>
      <c r="R31" s="28" t="s">
        <v>115</v>
      </c>
      <c r="S31" s="28" t="s">
        <v>116</v>
      </c>
      <c r="T31" s="28" t="s">
        <v>117</v>
      </c>
      <c r="U31" s="28" t="s">
        <v>118</v>
      </c>
    </row>
    <row r="32" spans="2:21" x14ac:dyDescent="0.25">
      <c r="B32" s="2"/>
      <c r="C32" s="2"/>
      <c r="D32" s="49">
        <f>DATE(2026,4,30)</f>
        <v>46142</v>
      </c>
      <c r="E32" s="29" t="s">
        <v>154</v>
      </c>
      <c r="F32" s="29" t="s">
        <v>155</v>
      </c>
      <c r="G32" s="29" t="s">
        <v>156</v>
      </c>
      <c r="H32" s="2"/>
      <c r="I32" s="2" t="s">
        <v>75</v>
      </c>
      <c r="J32" s="25">
        <f>J15</f>
        <v>1128</v>
      </c>
      <c r="K32" s="25">
        <f t="shared" ref="K32:O32" si="9">K15</f>
        <v>1354</v>
      </c>
      <c r="L32" s="25">
        <f t="shared" si="9"/>
        <v>1578</v>
      </c>
      <c r="M32" s="25">
        <f t="shared" si="9"/>
        <v>233</v>
      </c>
      <c r="N32" s="25">
        <f t="shared" si="9"/>
        <v>541</v>
      </c>
      <c r="O32" s="25">
        <f t="shared" si="9"/>
        <v>1886</v>
      </c>
      <c r="P32" s="2"/>
      <c r="Q32" s="2" t="s">
        <v>119</v>
      </c>
      <c r="R32" s="42">
        <v>0</v>
      </c>
      <c r="S32" s="18">
        <v>0</v>
      </c>
      <c r="T32" s="19">
        <f>IF(AND(S32&gt;0,S32&lt;$G$18),R32,0)</f>
        <v>0</v>
      </c>
      <c r="U32" s="25">
        <f>T32*S32</f>
        <v>0</v>
      </c>
    </row>
    <row r="33" spans="2:21" x14ac:dyDescent="0.25">
      <c r="B33" s="2"/>
      <c r="C33" s="14" t="s">
        <v>30</v>
      </c>
      <c r="D33" s="47">
        <f>G28/O11</f>
        <v>5.9561742373784465</v>
      </c>
      <c r="E33" s="47">
        <f>G28/E34</f>
        <v>5.4627978008552232</v>
      </c>
      <c r="F33" s="30" t="s">
        <v>9</v>
      </c>
      <c r="G33" s="30" t="s">
        <v>9</v>
      </c>
      <c r="H33" s="2"/>
      <c r="I33" s="2" t="s">
        <v>72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f>L33+N33-M33</f>
        <v>0</v>
      </c>
      <c r="P33" s="2"/>
      <c r="Q33" s="2" t="s">
        <v>120</v>
      </c>
      <c r="R33" s="42">
        <v>0</v>
      </c>
      <c r="S33" s="18">
        <v>0</v>
      </c>
      <c r="T33" s="19">
        <f t="shared" ref="T33:T36" si="10">IF(AND(S33&gt;0,S33&lt;$G$18),R33,0)</f>
        <v>0</v>
      </c>
      <c r="U33" s="25">
        <f t="shared" ref="U33:U36" si="11">T33*S33</f>
        <v>0</v>
      </c>
    </row>
    <row r="34" spans="2:21" x14ac:dyDescent="0.25">
      <c r="B34" s="2"/>
      <c r="C34" s="6" t="s">
        <v>31</v>
      </c>
      <c r="D34" s="48">
        <f>O11</f>
        <v>7507</v>
      </c>
      <c r="E34" s="48">
        <v>8185</v>
      </c>
      <c r="F34" s="2"/>
      <c r="G34" s="2"/>
      <c r="H34" s="2"/>
      <c r="I34" s="2" t="s">
        <v>76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f>L34+N34-M34</f>
        <v>0</v>
      </c>
      <c r="P34" s="2"/>
      <c r="Q34" s="2" t="s">
        <v>121</v>
      </c>
      <c r="R34" s="42">
        <v>0</v>
      </c>
      <c r="S34" s="18">
        <v>0</v>
      </c>
      <c r="T34" s="19">
        <f t="shared" si="10"/>
        <v>0</v>
      </c>
      <c r="U34" s="25">
        <f t="shared" si="11"/>
        <v>0</v>
      </c>
    </row>
    <row r="35" spans="2:21" x14ac:dyDescent="0.25">
      <c r="B35" s="2"/>
      <c r="C35" s="14" t="s">
        <v>32</v>
      </c>
      <c r="D35" s="47">
        <f>IF(O38&lt;=0,"NM",IF(G28/O38&gt;NM_Cap,"NM",G28/O38))</f>
        <v>21.455374280230327</v>
      </c>
      <c r="E35" s="30" t="s">
        <v>9</v>
      </c>
      <c r="F35" s="30" t="s">
        <v>9</v>
      </c>
      <c r="G35" s="30" t="s">
        <v>9</v>
      </c>
      <c r="H35" s="2"/>
      <c r="I35" s="14" t="s">
        <v>77</v>
      </c>
      <c r="J35" s="15">
        <f>J32+J33+J34</f>
        <v>1128</v>
      </c>
      <c r="K35" s="15">
        <f t="shared" ref="K35:O35" si="12">K32+K33+K34</f>
        <v>1354</v>
      </c>
      <c r="L35" s="15">
        <f t="shared" si="12"/>
        <v>1578</v>
      </c>
      <c r="M35" s="15">
        <f t="shared" si="12"/>
        <v>233</v>
      </c>
      <c r="N35" s="15">
        <f t="shared" si="12"/>
        <v>541</v>
      </c>
      <c r="O35" s="15">
        <f t="shared" si="12"/>
        <v>1886</v>
      </c>
      <c r="P35" s="2"/>
      <c r="Q35" s="2" t="s">
        <v>122</v>
      </c>
      <c r="R35" s="42">
        <v>0</v>
      </c>
      <c r="S35" s="18">
        <v>0</v>
      </c>
      <c r="T35" s="19">
        <f t="shared" si="10"/>
        <v>0</v>
      </c>
      <c r="U35" s="25">
        <f t="shared" si="11"/>
        <v>0</v>
      </c>
    </row>
    <row r="36" spans="2:21" x14ac:dyDescent="0.25">
      <c r="B36" s="2"/>
      <c r="C36" s="6" t="s">
        <v>31</v>
      </c>
      <c r="D36" s="48">
        <f>O38</f>
        <v>2084</v>
      </c>
      <c r="E36" s="2"/>
      <c r="F36" s="2"/>
      <c r="G36" s="2"/>
      <c r="H36" s="2"/>
      <c r="I36" s="6" t="s">
        <v>74</v>
      </c>
      <c r="J36" s="27">
        <f>IFERROR(J35/J11,0)</f>
        <v>0.20520283791158814</v>
      </c>
      <c r="K36" s="27">
        <f t="shared" ref="K36:O36" si="13">IFERROR(K35/K11,0)</f>
        <v>0.22084488664165716</v>
      </c>
      <c r="L36" s="27">
        <f t="shared" si="13"/>
        <v>0.21898417985012489</v>
      </c>
      <c r="M36" s="27">
        <f t="shared" si="13"/>
        <v>0.14268218003674218</v>
      </c>
      <c r="N36" s="27">
        <f t="shared" si="13"/>
        <v>0.27973112719751808</v>
      </c>
      <c r="O36" s="27">
        <f t="shared" si="13"/>
        <v>0.25123218329559077</v>
      </c>
      <c r="P36" s="2"/>
      <c r="Q36" s="2" t="s">
        <v>123</v>
      </c>
      <c r="R36" s="42">
        <v>0</v>
      </c>
      <c r="S36" s="18">
        <v>0</v>
      </c>
      <c r="T36" s="19">
        <f t="shared" si="10"/>
        <v>0</v>
      </c>
      <c r="U36" s="25">
        <f t="shared" si="11"/>
        <v>0</v>
      </c>
    </row>
    <row r="37" spans="2:21" x14ac:dyDescent="0.25">
      <c r="B37" s="2"/>
      <c r="C37" s="14" t="s">
        <v>33</v>
      </c>
      <c r="D37" s="47">
        <f>IF(O35&lt;=0,"NM",IF(G28/O35&gt;NM_Cap,"NM",G28/O35))</f>
        <v>23.707847295864262</v>
      </c>
      <c r="E37" s="30" t="s">
        <v>9</v>
      </c>
      <c r="F37" s="30" t="s">
        <v>9</v>
      </c>
      <c r="G37" s="30" t="s">
        <v>9</v>
      </c>
      <c r="H37" s="2"/>
      <c r="I37" s="2" t="s">
        <v>78</v>
      </c>
      <c r="J37" s="41">
        <v>139</v>
      </c>
      <c r="K37" s="41">
        <v>180</v>
      </c>
      <c r="L37" s="41">
        <v>195</v>
      </c>
      <c r="M37" s="41">
        <v>48</v>
      </c>
      <c r="N37" s="41">
        <v>51</v>
      </c>
      <c r="O37" s="41">
        <f>L37+N37-M37</f>
        <v>198</v>
      </c>
      <c r="P37" s="2"/>
      <c r="Q37" s="14" t="s">
        <v>124</v>
      </c>
      <c r="R37" s="31">
        <f>SUM(R32:R36)</f>
        <v>0</v>
      </c>
      <c r="S37" s="43"/>
      <c r="T37" s="31">
        <f>SUM(T32:T36)</f>
        <v>0</v>
      </c>
      <c r="U37" s="15">
        <f>SUM(U32:U36)</f>
        <v>0</v>
      </c>
    </row>
    <row r="38" spans="2:21" x14ac:dyDescent="0.25">
      <c r="B38" s="2"/>
      <c r="C38" s="6" t="s">
        <v>31</v>
      </c>
      <c r="D38" s="48">
        <f>O35</f>
        <v>1886</v>
      </c>
      <c r="E38" s="2"/>
      <c r="F38" s="2"/>
      <c r="G38" s="2"/>
      <c r="H38" s="2"/>
      <c r="I38" s="14" t="s">
        <v>79</v>
      </c>
      <c r="J38" s="15">
        <f>J35+J37</f>
        <v>1267</v>
      </c>
      <c r="K38" s="15">
        <f t="shared" ref="K38:O38" si="14">K35+K37</f>
        <v>1534</v>
      </c>
      <c r="L38" s="15">
        <f t="shared" si="14"/>
        <v>1773</v>
      </c>
      <c r="M38" s="15">
        <f t="shared" si="14"/>
        <v>281</v>
      </c>
      <c r="N38" s="15">
        <f t="shared" si="14"/>
        <v>592</v>
      </c>
      <c r="O38" s="15">
        <f t="shared" si="14"/>
        <v>2084</v>
      </c>
      <c r="P38" s="2"/>
      <c r="Q38" s="14"/>
      <c r="R38" s="32"/>
      <c r="S38" s="2"/>
      <c r="T38" s="32"/>
      <c r="U38" s="33"/>
    </row>
    <row r="39" spans="2:21" x14ac:dyDescent="0.25">
      <c r="B39" s="2"/>
      <c r="C39" s="14" t="s">
        <v>34</v>
      </c>
      <c r="D39" s="47">
        <f>IF(O46&lt;=0,"NM",IF(G18/O46&gt;NM_Cap,"NM",G18/O46))</f>
        <v>31.302802460697201</v>
      </c>
      <c r="E39" s="47">
        <f>IFERROR(IF(E40&lt;=0,"NM",IF(G18/E40&gt;NM_Cap,"NM",G18/E40)),"NA")</f>
        <v>17.12</v>
      </c>
      <c r="F39" s="30" t="s">
        <v>9</v>
      </c>
      <c r="G39" s="30" t="s">
        <v>9</v>
      </c>
      <c r="H39" s="2"/>
      <c r="I39" s="6" t="s">
        <v>74</v>
      </c>
      <c r="J39" s="27">
        <f>IFERROR(J38/J11,0)</f>
        <v>0.23048935783154448</v>
      </c>
      <c r="K39" s="27">
        <f t="shared" ref="K39:O39" si="15">IFERROR(K38/K11,0)</f>
        <v>0.25020388191159681</v>
      </c>
      <c r="L39" s="27">
        <f t="shared" si="15"/>
        <v>0.24604496253122399</v>
      </c>
      <c r="M39" s="27">
        <f t="shared" si="15"/>
        <v>0.1720759338640539</v>
      </c>
      <c r="N39" s="27">
        <f t="shared" si="15"/>
        <v>0.30610134436401243</v>
      </c>
      <c r="O39" s="27">
        <f t="shared" si="15"/>
        <v>0.27760756627147998</v>
      </c>
      <c r="P39" s="2"/>
      <c r="Q39" s="2"/>
      <c r="R39" s="2"/>
      <c r="S39" s="2"/>
      <c r="T39" s="2"/>
      <c r="U39" s="2"/>
    </row>
    <row r="40" spans="2:21" x14ac:dyDescent="0.25">
      <c r="B40" s="2"/>
      <c r="C40" s="6" t="s">
        <v>31</v>
      </c>
      <c r="D40" s="23">
        <f>O46</f>
        <v>6.8364485981308407</v>
      </c>
      <c r="E40" s="23">
        <v>12.5</v>
      </c>
      <c r="F40" s="2"/>
      <c r="G40" s="2"/>
      <c r="H40" s="2"/>
      <c r="I40" s="2" t="s">
        <v>80</v>
      </c>
      <c r="J40" s="25">
        <f>J22</f>
        <v>906</v>
      </c>
      <c r="K40" s="25">
        <f t="shared" ref="K40:O40" si="16">K22</f>
        <v>1112</v>
      </c>
      <c r="L40" s="25">
        <f t="shared" si="16"/>
        <v>1124</v>
      </c>
      <c r="M40" s="25">
        <f t="shared" si="16"/>
        <v>152</v>
      </c>
      <c r="N40" s="25">
        <f t="shared" si="16"/>
        <v>491</v>
      </c>
      <c r="O40" s="25">
        <f t="shared" si="16"/>
        <v>1463</v>
      </c>
      <c r="P40" s="2"/>
      <c r="Q40" s="7" t="s">
        <v>125</v>
      </c>
      <c r="R40" s="28" t="s">
        <v>126</v>
      </c>
      <c r="S40" s="28" t="s">
        <v>127</v>
      </c>
      <c r="T40" s="28" t="s">
        <v>128</v>
      </c>
      <c r="U40" s="28" t="s">
        <v>129</v>
      </c>
    </row>
    <row r="41" spans="2:21" x14ac:dyDescent="0.25">
      <c r="B41" s="2"/>
      <c r="C41" s="14" t="s">
        <v>35</v>
      </c>
      <c r="D41" s="34">
        <f>O51/G23</f>
        <v>6.0437613500465073E-2</v>
      </c>
      <c r="E41" s="30" t="s">
        <v>9</v>
      </c>
      <c r="F41" s="30" t="s">
        <v>9</v>
      </c>
      <c r="G41" s="30" t="s">
        <v>9</v>
      </c>
      <c r="H41" s="2"/>
      <c r="I41" s="2" t="s">
        <v>76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f>L41+N41-M41</f>
        <v>0</v>
      </c>
      <c r="P41" s="2"/>
      <c r="Q41" s="2" t="s">
        <v>130</v>
      </c>
      <c r="R41" s="41">
        <v>0</v>
      </c>
      <c r="S41" s="18">
        <v>0</v>
      </c>
      <c r="T41" s="44">
        <f>IFERROR(1000/S41,0)</f>
        <v>0</v>
      </c>
      <c r="U41" s="19">
        <f>IFERROR(R41/S41,0)</f>
        <v>0</v>
      </c>
    </row>
    <row r="42" spans="2:21" x14ac:dyDescent="0.25">
      <c r="B42" s="2"/>
      <c r="C42" s="6" t="s">
        <v>31</v>
      </c>
      <c r="D42" s="48">
        <f>O51</f>
        <v>2729</v>
      </c>
      <c r="E42" s="2"/>
      <c r="F42" s="2"/>
      <c r="G42" s="2"/>
      <c r="H42" s="2"/>
      <c r="I42" s="2" t="s">
        <v>72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1">
        <f>L42+N42-M42</f>
        <v>0</v>
      </c>
      <c r="P42" s="2"/>
      <c r="Q42" s="2" t="s">
        <v>131</v>
      </c>
      <c r="R42" s="41">
        <v>0</v>
      </c>
      <c r="S42" s="18">
        <v>0</v>
      </c>
      <c r="T42" s="44">
        <f t="shared" ref="T42:T45" si="17">IFERROR(1000/S42,0)</f>
        <v>0</v>
      </c>
      <c r="U42" s="19">
        <f t="shared" ref="U42:U45" si="18">IFERROR(R42/S42,0)</f>
        <v>0</v>
      </c>
    </row>
    <row r="43" spans="2:21" x14ac:dyDescent="0.25">
      <c r="B43" s="2"/>
      <c r="C43" s="2"/>
      <c r="D43" s="2"/>
      <c r="E43" s="2"/>
      <c r="F43" s="2"/>
      <c r="G43" s="2"/>
      <c r="H43" s="2"/>
      <c r="I43" s="2" t="s">
        <v>81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f>L43+N43-M43</f>
        <v>0</v>
      </c>
      <c r="P43" s="2"/>
      <c r="Q43" s="2" t="s">
        <v>132</v>
      </c>
      <c r="R43" s="41">
        <v>0</v>
      </c>
      <c r="S43" s="18">
        <v>0</v>
      </c>
      <c r="T43" s="44">
        <f t="shared" si="17"/>
        <v>0</v>
      </c>
      <c r="U43" s="19">
        <f t="shared" si="18"/>
        <v>0</v>
      </c>
    </row>
    <row r="44" spans="2:21" x14ac:dyDescent="0.25">
      <c r="B44" s="2"/>
      <c r="C44" s="7" t="s">
        <v>36</v>
      </c>
      <c r="D44" s="7"/>
      <c r="E44" s="7"/>
      <c r="F44" s="7"/>
      <c r="G44" s="7"/>
      <c r="H44" s="2"/>
      <c r="I44" s="14" t="s">
        <v>82</v>
      </c>
      <c r="J44" s="15">
        <f>J40+J41+J42+J43</f>
        <v>906</v>
      </c>
      <c r="K44" s="15">
        <f t="shared" ref="K44:O44" si="19">K40+K41+K42+K43</f>
        <v>1112</v>
      </c>
      <c r="L44" s="15">
        <f t="shared" si="19"/>
        <v>1124</v>
      </c>
      <c r="M44" s="15">
        <f t="shared" si="19"/>
        <v>152</v>
      </c>
      <c r="N44" s="15">
        <f t="shared" si="19"/>
        <v>491</v>
      </c>
      <c r="O44" s="15">
        <f t="shared" si="19"/>
        <v>1463</v>
      </c>
      <c r="P44" s="2"/>
      <c r="Q44" s="2" t="s">
        <v>133</v>
      </c>
      <c r="R44" s="41">
        <v>0</v>
      </c>
      <c r="S44" s="18">
        <v>0</v>
      </c>
      <c r="T44" s="44">
        <f t="shared" si="17"/>
        <v>0</v>
      </c>
      <c r="U44" s="19">
        <f t="shared" si="18"/>
        <v>0</v>
      </c>
    </row>
    <row r="45" spans="2:21" x14ac:dyDescent="0.25">
      <c r="B45" s="2"/>
      <c r="C45" s="2" t="s">
        <v>37</v>
      </c>
      <c r="D45" s="2"/>
      <c r="E45" s="2"/>
      <c r="F45" s="2"/>
      <c r="G45" s="34">
        <f>IF(U26&lt;=0,"NM",U21/(U21+U26))</f>
        <v>0.43776445698166433</v>
      </c>
      <c r="H45" s="2"/>
      <c r="I45" s="6" t="s">
        <v>74</v>
      </c>
      <c r="J45" s="27">
        <f>IFERROR(J44/J11,0)</f>
        <v>0.16481717300345644</v>
      </c>
      <c r="K45" s="27">
        <f t="shared" ref="K45:O45" si="20">IFERROR(K44/K11,0)</f>
        <v>0.18137334855651607</v>
      </c>
      <c r="L45" s="27">
        <f t="shared" si="20"/>
        <v>0.15598112683874549</v>
      </c>
      <c r="M45" s="27">
        <f t="shared" si="20"/>
        <v>9.30802204531537E-2</v>
      </c>
      <c r="N45" s="27">
        <f t="shared" si="20"/>
        <v>0.25387797311271976</v>
      </c>
      <c r="O45" s="27">
        <f t="shared" si="20"/>
        <v>0.19488477421073663</v>
      </c>
      <c r="P45" s="2"/>
      <c r="Q45" s="2" t="s">
        <v>134</v>
      </c>
      <c r="R45" s="41">
        <v>0</v>
      </c>
      <c r="S45" s="18">
        <v>0</v>
      </c>
      <c r="T45" s="44">
        <f t="shared" si="17"/>
        <v>0</v>
      </c>
      <c r="U45" s="19">
        <f t="shared" si="18"/>
        <v>0</v>
      </c>
    </row>
    <row r="46" spans="2:21" x14ac:dyDescent="0.25">
      <c r="B46" s="2"/>
      <c r="C46" s="2" t="s">
        <v>38</v>
      </c>
      <c r="D46" s="2"/>
      <c r="E46" s="2"/>
      <c r="F46" s="2"/>
      <c r="G46" s="34">
        <f>IF(U21+U26&lt;=0,"NM",O35*(1-G15)/(U21+U26))</f>
        <v>0.23315152213717755</v>
      </c>
      <c r="H46" s="2"/>
      <c r="I46" s="2" t="s">
        <v>83</v>
      </c>
      <c r="J46" s="23">
        <f>IFERROR(J44/J24,0)</f>
        <v>4.1944444444444446</v>
      </c>
      <c r="K46" s="23">
        <f t="shared" ref="K46:O46" si="21">IFERROR(K44/K24,0)</f>
        <v>5.1244239631336406</v>
      </c>
      <c r="L46" s="23">
        <f t="shared" si="21"/>
        <v>5.2279069767441859</v>
      </c>
      <c r="M46" s="23">
        <f t="shared" si="21"/>
        <v>0.70046082949308752</v>
      </c>
      <c r="N46" s="23">
        <f t="shared" si="21"/>
        <v>2.2943925233644862</v>
      </c>
      <c r="O46" s="23">
        <f t="shared" si="21"/>
        <v>6.8364485981308407</v>
      </c>
      <c r="P46" s="2"/>
      <c r="Q46" s="14" t="s">
        <v>124</v>
      </c>
      <c r="R46" s="15">
        <f>SUM(R41:R45)</f>
        <v>0</v>
      </c>
      <c r="S46" s="43"/>
      <c r="T46" s="43"/>
      <c r="U46" s="31">
        <f>SUM(U41:U45)</f>
        <v>0</v>
      </c>
    </row>
    <row r="47" spans="2:21" x14ac:dyDescent="0.25">
      <c r="B47" s="2"/>
      <c r="C47" s="2" t="s">
        <v>39</v>
      </c>
      <c r="D47" s="2"/>
      <c r="E47" s="2"/>
      <c r="F47" s="2"/>
      <c r="G47" s="34">
        <f>IF(U26&lt;=0,"NM",O44/U26)</f>
        <v>0.4587645029789903</v>
      </c>
      <c r="H47" s="2"/>
      <c r="I47" s="2"/>
      <c r="J47" s="2"/>
      <c r="K47" s="2"/>
      <c r="L47" s="2"/>
      <c r="M47" s="2"/>
      <c r="N47" s="2"/>
      <c r="O47" s="2"/>
      <c r="P47" s="2"/>
      <c r="Q47" s="14"/>
      <c r="R47" s="33"/>
      <c r="S47" s="2"/>
      <c r="T47" s="2"/>
      <c r="U47" s="32"/>
    </row>
    <row r="48" spans="2:21" x14ac:dyDescent="0.25">
      <c r="B48" s="2"/>
      <c r="C48" s="2" t="s">
        <v>40</v>
      </c>
      <c r="D48" s="2"/>
      <c r="E48" s="2"/>
      <c r="F48" s="2"/>
      <c r="G48" s="34">
        <f>IFERROR(O44/U16,"NM")</f>
        <v>0.12261146496815287</v>
      </c>
      <c r="H48" s="2"/>
      <c r="I48" s="7" t="s">
        <v>84</v>
      </c>
      <c r="J48" s="7"/>
      <c r="K48" s="7"/>
      <c r="L48" s="7"/>
      <c r="M48" s="7"/>
      <c r="N48" s="7"/>
      <c r="O48" s="7"/>
      <c r="P48" s="2"/>
      <c r="Q48" s="2"/>
      <c r="R48" s="2"/>
      <c r="S48" s="2"/>
      <c r="T48" s="2"/>
      <c r="U48" s="2"/>
    </row>
    <row r="49" spans="2:21" x14ac:dyDescent="0.25">
      <c r="B49" s="2"/>
      <c r="C49" s="2" t="s">
        <v>41</v>
      </c>
      <c r="D49" s="2"/>
      <c r="E49" s="2"/>
      <c r="F49" s="2"/>
      <c r="G49" s="35">
        <f>G21*4</f>
        <v>0</v>
      </c>
      <c r="H49" s="2"/>
      <c r="I49" s="2" t="s">
        <v>85</v>
      </c>
      <c r="J49" s="41">
        <v>1313</v>
      </c>
      <c r="K49" s="41">
        <v>1607</v>
      </c>
      <c r="L49" s="41">
        <v>2452</v>
      </c>
      <c r="M49" s="41">
        <v>564</v>
      </c>
      <c r="N49" s="41">
        <v>893</v>
      </c>
      <c r="O49" s="41">
        <f>L49+N49-M49</f>
        <v>2781</v>
      </c>
      <c r="P49" s="2"/>
      <c r="Q49" s="7" t="s">
        <v>141</v>
      </c>
      <c r="R49" s="7"/>
      <c r="S49" s="7"/>
      <c r="T49" s="7"/>
      <c r="U49" s="7"/>
    </row>
    <row r="50" spans="2:21" x14ac:dyDescent="0.25">
      <c r="B50" s="2"/>
      <c r="C50" s="2"/>
      <c r="D50" s="2"/>
      <c r="E50" s="2"/>
      <c r="F50" s="2"/>
      <c r="G50" s="2"/>
      <c r="H50" s="2"/>
      <c r="I50" s="2" t="s">
        <v>86</v>
      </c>
      <c r="J50" s="41">
        <v>40</v>
      </c>
      <c r="K50" s="41">
        <v>40</v>
      </c>
      <c r="L50" s="41">
        <v>43</v>
      </c>
      <c r="M50" s="41">
        <v>8</v>
      </c>
      <c r="N50" s="41">
        <v>17</v>
      </c>
      <c r="O50" s="41">
        <f>L50+N50-M50</f>
        <v>52</v>
      </c>
      <c r="P50" s="2"/>
      <c r="Q50" s="2" t="s">
        <v>135</v>
      </c>
      <c r="R50" s="2"/>
      <c r="S50" s="2"/>
      <c r="T50" s="2"/>
      <c r="U50" s="42">
        <v>211</v>
      </c>
    </row>
    <row r="51" spans="2:21" x14ac:dyDescent="0.25">
      <c r="B51" s="2"/>
      <c r="C51" s="7" t="s">
        <v>42</v>
      </c>
      <c r="D51" s="7"/>
      <c r="E51" s="7"/>
      <c r="F51" s="7"/>
      <c r="G51" s="7"/>
      <c r="H51" s="2"/>
      <c r="I51" s="14" t="s">
        <v>87</v>
      </c>
      <c r="J51" s="15">
        <f>J49-J50</f>
        <v>1273</v>
      </c>
      <c r="K51" s="15">
        <f t="shared" ref="K51:O51" si="22">K49-K50</f>
        <v>1567</v>
      </c>
      <c r="L51" s="15">
        <f t="shared" si="22"/>
        <v>2409</v>
      </c>
      <c r="M51" s="15">
        <f t="shared" si="22"/>
        <v>556</v>
      </c>
      <c r="N51" s="15">
        <f t="shared" si="22"/>
        <v>876</v>
      </c>
      <c r="O51" s="15">
        <f t="shared" si="22"/>
        <v>2729</v>
      </c>
      <c r="P51" s="2"/>
      <c r="Q51" s="2" t="s">
        <v>136</v>
      </c>
      <c r="R51" s="2"/>
      <c r="S51" s="2"/>
      <c r="T51" s="2"/>
      <c r="U51" s="19">
        <f>T37</f>
        <v>0</v>
      </c>
    </row>
    <row r="52" spans="2:21" x14ac:dyDescent="0.25">
      <c r="B52" s="2"/>
      <c r="C52" s="2"/>
      <c r="D52" s="36" t="s">
        <v>43</v>
      </c>
      <c r="E52" s="36" t="s">
        <v>44</v>
      </c>
      <c r="F52" s="36" t="s">
        <v>45</v>
      </c>
      <c r="G52" s="36" t="s">
        <v>46</v>
      </c>
      <c r="H52" s="2"/>
      <c r="I52" s="6" t="s">
        <v>74</v>
      </c>
      <c r="J52" s="27">
        <f>IFERROR(J51/J11,0)</f>
        <v>0.23158086228852101</v>
      </c>
      <c r="K52" s="27">
        <f t="shared" ref="K52:O52" si="23">IFERROR(K51/K11,0)</f>
        <v>0.2555863643777524</v>
      </c>
      <c r="L52" s="27">
        <f t="shared" si="23"/>
        <v>0.33430474604496252</v>
      </c>
      <c r="M52" s="27">
        <f t="shared" si="23"/>
        <v>0.34047764849969381</v>
      </c>
      <c r="N52" s="27">
        <f t="shared" si="23"/>
        <v>0.452947259565667</v>
      </c>
      <c r="O52" s="27">
        <f t="shared" si="23"/>
        <v>0.36352737445051286</v>
      </c>
      <c r="P52" s="2"/>
      <c r="Q52" s="2" t="s">
        <v>137</v>
      </c>
      <c r="R52" s="2"/>
      <c r="S52" s="2"/>
      <c r="T52" s="2"/>
      <c r="U52" s="37">
        <f>-IFERROR(U37/G18,0)</f>
        <v>0</v>
      </c>
    </row>
    <row r="53" spans="2:21" x14ac:dyDescent="0.25">
      <c r="B53" s="2"/>
      <c r="C53" s="38" t="s">
        <v>47</v>
      </c>
      <c r="D53" s="2"/>
      <c r="E53" s="2"/>
      <c r="F53" s="2"/>
      <c r="G53" s="2"/>
      <c r="H53" s="2"/>
      <c r="I53" s="2" t="s">
        <v>88</v>
      </c>
      <c r="J53" s="23">
        <f>IFERROR(J51/J24,0)</f>
        <v>5.8935185185185182</v>
      </c>
      <c r="K53" s="23">
        <f t="shared" ref="K53:O53" si="24">IFERROR(K51/K24,0)</f>
        <v>7.2211981566820276</v>
      </c>
      <c r="L53" s="23">
        <f t="shared" si="24"/>
        <v>11.204651162790698</v>
      </c>
      <c r="M53" s="23">
        <f t="shared" si="24"/>
        <v>2.5622119815668203</v>
      </c>
      <c r="N53" s="23">
        <f t="shared" si="24"/>
        <v>4.0934579439252339</v>
      </c>
      <c r="O53" s="23">
        <f t="shared" si="24"/>
        <v>12.752336448598131</v>
      </c>
      <c r="P53" s="2"/>
      <c r="Q53" s="2" t="s">
        <v>138</v>
      </c>
      <c r="R53" s="2"/>
      <c r="S53" s="2"/>
      <c r="T53" s="2"/>
      <c r="U53" s="19">
        <f>U51+U52</f>
        <v>0</v>
      </c>
    </row>
    <row r="54" spans="2:21" x14ac:dyDescent="0.25">
      <c r="B54" s="2"/>
      <c r="C54" s="2" t="s">
        <v>48</v>
      </c>
      <c r="D54" s="34">
        <f>IFERROR(L11/K11-1,"NA")</f>
        <v>0.1753384439732506</v>
      </c>
      <c r="E54" s="34">
        <f>IF(OR(K38&lt;=0,L38&lt;=0),"NM",L38/K38-1)</f>
        <v>0.15580182529335063</v>
      </c>
      <c r="F54" s="34">
        <f>IF(OR(K51&lt;=0,L51&lt;=0),"NM",L51/K51-1)</f>
        <v>0.53733248245054255</v>
      </c>
      <c r="G54" s="34">
        <f>IF(OR(K46&lt;=0,L46&lt;=0),"NM",L46/K46-1)</f>
        <v>2.0194077296302515E-2</v>
      </c>
      <c r="H54" s="2"/>
      <c r="I54" s="2" t="s">
        <v>78</v>
      </c>
      <c r="J54" s="25">
        <f>J37</f>
        <v>139</v>
      </c>
      <c r="K54" s="25">
        <f t="shared" ref="K54:O54" si="25">K37</f>
        <v>180</v>
      </c>
      <c r="L54" s="25">
        <f t="shared" si="25"/>
        <v>195</v>
      </c>
      <c r="M54" s="25">
        <f t="shared" si="25"/>
        <v>48</v>
      </c>
      <c r="N54" s="25">
        <f t="shared" si="25"/>
        <v>51</v>
      </c>
      <c r="O54" s="25">
        <f t="shared" si="25"/>
        <v>198</v>
      </c>
      <c r="P54" s="2"/>
      <c r="Q54" s="2" t="s">
        <v>139</v>
      </c>
      <c r="R54" s="2"/>
      <c r="S54" s="2"/>
      <c r="T54" s="2"/>
      <c r="U54" s="19">
        <f>U46</f>
        <v>0</v>
      </c>
    </row>
    <row r="55" spans="2:21" ht="14.4" thickBot="1" x14ac:dyDescent="0.3">
      <c r="B55" s="2"/>
      <c r="C55" s="2" t="s">
        <v>49</v>
      </c>
      <c r="D55" s="34">
        <f>IFERROR((L11/J11)^(1/2)-1,"NA")</f>
        <v>0.14494403916908349</v>
      </c>
      <c r="E55" s="34">
        <f>IF(OR(J38&lt;=0,L38&lt;=0),"NM",(L38/J38)^(1/2)-1)</f>
        <v>0.18294910592716995</v>
      </c>
      <c r="F55" s="34">
        <f>IF(OR(J51&lt;=0,L51&lt;=0),"NM",(L51/J51)^(1/2)-1)</f>
        <v>0.37563810802185471</v>
      </c>
      <c r="G55" s="34">
        <f>IF(OR(J46&lt;=0,L46&lt;=0),"NM",(L46/J46)^(1/2)-1)</f>
        <v>0.11641767197434971</v>
      </c>
      <c r="H55" s="2"/>
      <c r="I55" s="6" t="s">
        <v>89</v>
      </c>
      <c r="J55" s="27">
        <f>IFERROR(J54/J11,0)</f>
        <v>2.5286519919956341E-2</v>
      </c>
      <c r="K55" s="27">
        <f t="shared" ref="K55:O55" si="26">IFERROR(K54/K11,0)</f>
        <v>2.9358995269939649E-2</v>
      </c>
      <c r="L55" s="27">
        <f t="shared" si="26"/>
        <v>2.7060782681099085E-2</v>
      </c>
      <c r="M55" s="27">
        <f t="shared" si="26"/>
        <v>2.9393753827311696E-2</v>
      </c>
      <c r="N55" s="27">
        <f t="shared" si="26"/>
        <v>2.6370217166494313E-2</v>
      </c>
      <c r="O55" s="27">
        <f t="shared" si="26"/>
        <v>2.6375382975889171E-2</v>
      </c>
      <c r="P55" s="2"/>
      <c r="Q55" s="14" t="s">
        <v>18</v>
      </c>
      <c r="R55" s="2"/>
      <c r="S55" s="2"/>
      <c r="T55" s="2"/>
      <c r="U55" s="39">
        <f>U50+U53+U54</f>
        <v>211</v>
      </c>
    </row>
    <row r="56" spans="2:21" ht="14.4" thickTop="1" x14ac:dyDescent="0.25">
      <c r="B56" s="2"/>
      <c r="C56" s="38" t="s">
        <v>50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2:21" x14ac:dyDescent="0.25">
      <c r="B57" s="2"/>
      <c r="C57" s="2" t="s">
        <v>48</v>
      </c>
      <c r="D57" s="34">
        <f>E34/L11-1</f>
        <v>0.13585900638356918</v>
      </c>
      <c r="E57" s="30" t="s">
        <v>9</v>
      </c>
      <c r="F57" s="30" t="s">
        <v>9</v>
      </c>
      <c r="G57" s="30" t="s">
        <v>9</v>
      </c>
      <c r="H57" s="2"/>
      <c r="I57" s="7" t="s">
        <v>90</v>
      </c>
      <c r="J57" s="7"/>
      <c r="K57" s="7"/>
      <c r="L57" s="7"/>
      <c r="M57" s="7"/>
      <c r="N57" s="7"/>
      <c r="O57" s="7"/>
      <c r="P57" s="40"/>
      <c r="Q57" s="40"/>
      <c r="R57" s="40"/>
      <c r="S57" s="40"/>
      <c r="T57" s="40"/>
      <c r="U57" s="40"/>
    </row>
    <row r="58" spans="2:21" x14ac:dyDescent="0.25">
      <c r="B58" s="2"/>
      <c r="C58" s="2" t="s">
        <v>49</v>
      </c>
      <c r="D58" s="30" t="s">
        <v>9</v>
      </c>
      <c r="E58" s="30" t="s">
        <v>9</v>
      </c>
      <c r="F58" s="30" t="s">
        <v>9</v>
      </c>
      <c r="G58" s="30" t="s">
        <v>9</v>
      </c>
      <c r="H58" s="2"/>
      <c r="I58" s="2" t="s">
        <v>91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2:21" x14ac:dyDescent="0.25">
      <c r="B59" s="2"/>
      <c r="C59" s="2" t="s">
        <v>51</v>
      </c>
      <c r="D59" s="30" t="s">
        <v>9</v>
      </c>
      <c r="E59" s="30" t="s">
        <v>9</v>
      </c>
      <c r="F59" s="30" t="s">
        <v>9</v>
      </c>
      <c r="G59" s="30" t="s">
        <v>9</v>
      </c>
      <c r="H59" s="2"/>
      <c r="I59" s="2" t="s">
        <v>92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2:2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2:2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2:2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2:2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2:2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2:2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2:2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2:2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2:2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2:2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2:2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2:2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2:2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2:2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2:2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2:2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2:2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2:2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2:2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2:2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2:2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2:2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2:2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2:2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2:2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2:2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2:2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2:2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2:2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2:2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2:2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2:2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2:2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2:2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2:2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2:2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2:2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2:2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2:2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2:2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2:2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2:2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2:2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2:2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2:2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2:2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2:2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2:2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2:2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2:2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2:2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2:2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2:2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2:2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2:2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2:2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2:2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2:2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2:2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2:2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2:2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2:2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2:2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2:2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2:2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2:2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2:2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2:2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2:2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2:2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2:2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2:2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2:2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2:2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2:2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2:2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2:2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2:2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2:2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2:2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2:2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2:2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2:2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2:2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2:2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2:2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2:2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2:2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2:2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2:2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2:2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2:2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2:2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2:2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2:2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2:2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2:2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2:2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2:2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2:2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2:2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2:2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2:2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2:2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2:2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2:2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2:2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2:2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2:2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2:2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2:2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2:2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2:2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2:2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2:2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2:2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2:2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2:2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2:2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2:2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2:2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2:2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2:2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2:2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2:2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2:2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2:2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2:2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2:2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2:2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2:2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2:2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2:2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2:2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2:2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2:2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2:2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2:2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2:2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2:2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2:2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2:2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2:2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</sheetData>
  <printOptions horizontalCentered="1"/>
  <pageMargins left="0.5" right="0.5" top="0.6" bottom="0.6" header="0.3" footer="0.3"/>
  <pageSetup scale="47" fitToHeight="0" orientation="landscape" r:id="rId1"/>
  <headerFooter>
    <oddHeader>&amp;L&amp;"Times New Roman"&amp;9 Adobe Inc. (ADBE) — Trading Comparables&amp;R&amp;"Times New Roman"&amp;9&amp;A</oddHeader>
    <oddFooter>&amp;L&amp;"Times New Roman"&amp;8 Confidential&amp;C&amp;"Times New Roman"&amp;8 Page &amp;P of &amp;N&amp;R&amp;"Times New Roman"&amp;8 &amp;D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C8BAC-6B29-4D0C-ACDC-9A28B5837065}">
  <sheetPr>
    <pageSetUpPr fitToPage="1"/>
  </sheetPr>
  <dimension ref="B3:U202"/>
  <sheetViews>
    <sheetView showGridLines="0" zoomScale="99" workbookViewId="0">
      <selection activeCell="Q59" sqref="Q59"/>
    </sheetView>
  </sheetViews>
  <sheetFormatPr defaultRowHeight="13.8" x14ac:dyDescent="0.25"/>
  <cols>
    <col min="1" max="1" width="8.88671875" style="1"/>
    <col min="2" max="2" width="2.5546875" style="1" customWidth="1"/>
    <col min="3" max="3" width="37" style="1" customWidth="1"/>
    <col min="4" max="7" width="11.109375" style="1" customWidth="1"/>
    <col min="8" max="8" width="2.21875" style="1" customWidth="1"/>
    <col min="9" max="9" width="38" style="1" customWidth="1"/>
    <col min="10" max="15" width="10.33203125" style="1" customWidth="1"/>
    <col min="16" max="16" width="2.21875" style="1" customWidth="1"/>
    <col min="17" max="17" width="38" style="1" customWidth="1"/>
    <col min="18" max="21" width="11.44140625" style="1" customWidth="1"/>
    <col min="22" max="16384" width="8.88671875" style="1"/>
  </cols>
  <sheetData>
    <row r="3" spans="2:21" ht="22.05" customHeight="1" x14ac:dyDescent="0.3">
      <c r="B3" s="2"/>
      <c r="C3" s="3" t="s">
        <v>177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1" ht="14.4" x14ac:dyDescent="0.3">
      <c r="B4" s="2"/>
      <c r="C4" s="5" t="s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2:21" x14ac:dyDescent="0.25">
      <c r="B5" s="2"/>
      <c r="C5" s="6" t="s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21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21" x14ac:dyDescent="0.25">
      <c r="B7" s="2"/>
      <c r="C7" s="7" t="s">
        <v>2</v>
      </c>
      <c r="D7" s="7"/>
      <c r="E7" s="7"/>
      <c r="F7" s="7"/>
      <c r="G7" s="7"/>
      <c r="H7" s="2"/>
      <c r="I7" s="7" t="s">
        <v>52</v>
      </c>
      <c r="J7" s="7"/>
      <c r="K7" s="7"/>
      <c r="L7" s="7"/>
      <c r="M7" s="7"/>
      <c r="N7" s="7"/>
      <c r="O7" s="7"/>
      <c r="P7" s="2"/>
      <c r="Q7" s="7" t="s">
        <v>93</v>
      </c>
      <c r="R7" s="7"/>
      <c r="S7" s="7"/>
      <c r="T7" s="8" t="s">
        <v>147</v>
      </c>
      <c r="U7" s="50">
        <f>DATE(2026,3,31)</f>
        <v>46112</v>
      </c>
    </row>
    <row r="8" spans="2:21" x14ac:dyDescent="0.25">
      <c r="B8" s="2"/>
      <c r="C8" s="2" t="s">
        <v>3</v>
      </c>
      <c r="D8" s="2"/>
      <c r="E8" s="2"/>
      <c r="F8" s="2"/>
      <c r="G8" s="9" t="s">
        <v>169</v>
      </c>
      <c r="H8" s="2"/>
      <c r="I8" s="2"/>
      <c r="J8" s="10" t="s">
        <v>53</v>
      </c>
      <c r="K8" s="2"/>
      <c r="L8" s="2"/>
      <c r="M8" s="2"/>
      <c r="N8" s="2"/>
      <c r="O8" s="2"/>
      <c r="P8" s="2"/>
      <c r="Q8" s="2" t="s">
        <v>94</v>
      </c>
      <c r="R8" s="2"/>
      <c r="S8" s="2"/>
      <c r="T8" s="41">
        <v>1671.5</v>
      </c>
      <c r="U8" s="41">
        <v>1654.2</v>
      </c>
    </row>
    <row r="9" spans="2:21" x14ac:dyDescent="0.25">
      <c r="B9" s="2"/>
      <c r="C9" s="2" t="s">
        <v>4</v>
      </c>
      <c r="D9" s="2"/>
      <c r="E9" s="2"/>
      <c r="F9" s="2"/>
      <c r="G9" s="9" t="s">
        <v>170</v>
      </c>
      <c r="H9" s="2"/>
      <c r="I9" s="2"/>
      <c r="J9" s="11" t="s">
        <v>145</v>
      </c>
      <c r="K9" s="11" t="s">
        <v>146</v>
      </c>
      <c r="L9" s="11" t="s">
        <v>147</v>
      </c>
      <c r="M9" s="11" t="s">
        <v>54</v>
      </c>
      <c r="N9" s="11" t="s">
        <v>55</v>
      </c>
      <c r="O9" s="11" t="s">
        <v>26</v>
      </c>
      <c r="P9" s="2"/>
      <c r="Q9" s="2" t="s">
        <v>95</v>
      </c>
      <c r="R9" s="2"/>
      <c r="S9" s="2"/>
      <c r="T9" s="41">
        <v>247.9</v>
      </c>
      <c r="U9" s="41">
        <v>188.4</v>
      </c>
    </row>
    <row r="10" spans="2:21" x14ac:dyDescent="0.25">
      <c r="B10" s="2"/>
      <c r="C10" s="2" t="s">
        <v>5</v>
      </c>
      <c r="D10" s="2"/>
      <c r="E10" s="2"/>
      <c r="F10" s="2"/>
      <c r="G10" s="9" t="s">
        <v>162</v>
      </c>
      <c r="H10" s="2"/>
      <c r="I10" s="2"/>
      <c r="J10" s="12"/>
      <c r="K10" s="12"/>
      <c r="L10" s="12"/>
      <c r="M10" s="49">
        <f>DATE(2025,3,31)</f>
        <v>45747</v>
      </c>
      <c r="N10" s="49">
        <f>DATE(2026,3,31)</f>
        <v>46112</v>
      </c>
      <c r="O10" s="49">
        <f>DATE(2026,3,31)</f>
        <v>46112</v>
      </c>
      <c r="P10" s="2"/>
      <c r="Q10" s="2" t="s">
        <v>96</v>
      </c>
      <c r="R10" s="2"/>
      <c r="S10" s="2"/>
      <c r="T10" s="41">
        <v>0</v>
      </c>
      <c r="U10" s="41">
        <v>0</v>
      </c>
    </row>
    <row r="11" spans="2:21" x14ac:dyDescent="0.25">
      <c r="B11" s="2"/>
      <c r="C11" s="2" t="s">
        <v>7</v>
      </c>
      <c r="D11" s="2"/>
      <c r="E11" s="2"/>
      <c r="F11" s="2"/>
      <c r="G11" s="13" t="s">
        <v>140</v>
      </c>
      <c r="H11" s="2"/>
      <c r="I11" s="2" t="s">
        <v>43</v>
      </c>
      <c r="J11" s="41">
        <v>504.9</v>
      </c>
      <c r="K11" s="41">
        <v>749</v>
      </c>
      <c r="L11" s="41">
        <v>1055.8</v>
      </c>
      <c r="M11" s="41">
        <v>228.2</v>
      </c>
      <c r="N11" s="41">
        <v>333.4</v>
      </c>
      <c r="O11" s="41">
        <f>L11+N11-M11</f>
        <v>1160.9999999999998</v>
      </c>
      <c r="P11" s="2"/>
      <c r="Q11" s="2" t="s">
        <v>97</v>
      </c>
      <c r="R11" s="2"/>
      <c r="S11" s="2"/>
      <c r="T11" s="41">
        <v>85.3</v>
      </c>
      <c r="U11" s="41">
        <v>93.8</v>
      </c>
    </row>
    <row r="12" spans="2:21" x14ac:dyDescent="0.25">
      <c r="B12" s="2"/>
      <c r="C12" s="2" t="s">
        <v>8</v>
      </c>
      <c r="D12" s="2"/>
      <c r="E12" s="2"/>
      <c r="F12" s="2"/>
      <c r="G12" s="9" t="s">
        <v>9</v>
      </c>
      <c r="H12" s="2"/>
      <c r="I12" s="2" t="s">
        <v>56</v>
      </c>
      <c r="J12" s="41">
        <v>44.5</v>
      </c>
      <c r="K12" s="41">
        <v>87.5</v>
      </c>
      <c r="L12" s="41">
        <v>185.5</v>
      </c>
      <c r="M12" s="41">
        <v>19.5</v>
      </c>
      <c r="N12" s="41">
        <v>68.7</v>
      </c>
      <c r="O12" s="41">
        <f>L12+N12-M12</f>
        <v>234.7</v>
      </c>
      <c r="P12" s="2"/>
      <c r="Q12" s="14" t="s">
        <v>98</v>
      </c>
      <c r="R12" s="2"/>
      <c r="S12" s="2"/>
      <c r="T12" s="15">
        <f>SUM(T8:T11)</f>
        <v>2004.7</v>
      </c>
      <c r="U12" s="15">
        <f>SUM(U8:U11)</f>
        <v>1936.4</v>
      </c>
    </row>
    <row r="13" spans="2:21" x14ac:dyDescent="0.25">
      <c r="B13" s="2"/>
      <c r="C13" s="2" t="s">
        <v>10</v>
      </c>
      <c r="D13" s="2"/>
      <c r="E13" s="2"/>
      <c r="F13" s="2"/>
      <c r="G13" s="9" t="s">
        <v>9</v>
      </c>
      <c r="H13" s="2"/>
      <c r="I13" s="14" t="s">
        <v>57</v>
      </c>
      <c r="J13" s="15">
        <f>J11-J12</f>
        <v>460.4</v>
      </c>
      <c r="K13" s="15">
        <f t="shared" ref="K13:O13" si="0">K11-K12</f>
        <v>661.5</v>
      </c>
      <c r="L13" s="15">
        <f t="shared" si="0"/>
        <v>870.3</v>
      </c>
      <c r="M13" s="15">
        <f t="shared" si="0"/>
        <v>208.7</v>
      </c>
      <c r="N13" s="15">
        <f t="shared" si="0"/>
        <v>264.7</v>
      </c>
      <c r="O13" s="15">
        <f t="shared" si="0"/>
        <v>926.29999999999973</v>
      </c>
      <c r="P13" s="2"/>
      <c r="Q13" s="2" t="s">
        <v>99</v>
      </c>
      <c r="R13" s="2"/>
      <c r="S13" s="2"/>
      <c r="T13" s="41">
        <v>20</v>
      </c>
      <c r="U13" s="41">
        <v>31</v>
      </c>
    </row>
    <row r="14" spans="2:21" x14ac:dyDescent="0.25">
      <c r="B14" s="2"/>
      <c r="C14" s="2" t="s">
        <v>11</v>
      </c>
      <c r="D14" s="2"/>
      <c r="E14" s="2"/>
      <c r="F14" s="2"/>
      <c r="G14" s="16">
        <v>1.1499999999999999</v>
      </c>
      <c r="H14" s="2"/>
      <c r="I14" s="2" t="s">
        <v>58</v>
      </c>
      <c r="J14" s="41">
        <v>533.79999999999995</v>
      </c>
      <c r="K14" s="41">
        <v>1538.9</v>
      </c>
      <c r="L14" s="41">
        <v>2160.6999999999998</v>
      </c>
      <c r="M14" s="41">
        <v>169</v>
      </c>
      <c r="N14" s="41">
        <v>402.2</v>
      </c>
      <c r="O14" s="41">
        <f>L14+N14-M14</f>
        <v>2393.8999999999996</v>
      </c>
      <c r="P14" s="2"/>
      <c r="Q14" s="2" t="s">
        <v>100</v>
      </c>
      <c r="R14" s="2"/>
      <c r="S14" s="2"/>
      <c r="T14" s="41">
        <v>120.5</v>
      </c>
      <c r="U14" s="41">
        <v>114.1</v>
      </c>
    </row>
    <row r="15" spans="2:21" x14ac:dyDescent="0.25">
      <c r="B15" s="2"/>
      <c r="C15" s="2" t="s">
        <v>12</v>
      </c>
      <c r="D15" s="2"/>
      <c r="E15" s="2"/>
      <c r="F15" s="2"/>
      <c r="G15" s="17">
        <v>0.21</v>
      </c>
      <c r="H15" s="2"/>
      <c r="I15" s="14" t="s">
        <v>59</v>
      </c>
      <c r="J15" s="15">
        <f>J13-J14</f>
        <v>-73.399999999999977</v>
      </c>
      <c r="K15" s="15">
        <f t="shared" ref="K15:O15" si="1">K13-K14</f>
        <v>-877.40000000000009</v>
      </c>
      <c r="L15" s="15">
        <f t="shared" si="1"/>
        <v>-1290.3999999999999</v>
      </c>
      <c r="M15" s="15">
        <f t="shared" si="1"/>
        <v>39.699999999999989</v>
      </c>
      <c r="N15" s="15">
        <f t="shared" si="1"/>
        <v>-137.5</v>
      </c>
      <c r="O15" s="15">
        <f t="shared" si="1"/>
        <v>-1467.6</v>
      </c>
      <c r="P15" s="2"/>
      <c r="Q15" s="2" t="s">
        <v>101</v>
      </c>
      <c r="R15" s="2"/>
      <c r="S15" s="2"/>
      <c r="T15" s="41">
        <v>203</v>
      </c>
      <c r="U15" s="41">
        <v>209.3</v>
      </c>
    </row>
    <row r="16" spans="2:21" x14ac:dyDescent="0.25">
      <c r="B16" s="2"/>
      <c r="C16" s="2"/>
      <c r="D16" s="2"/>
      <c r="E16" s="2"/>
      <c r="F16" s="2"/>
      <c r="G16" s="2"/>
      <c r="H16" s="2"/>
      <c r="I16" s="2" t="s">
        <v>60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f>L16+N16-M16</f>
        <v>0</v>
      </c>
      <c r="P16" s="2"/>
      <c r="Q16" s="14" t="s">
        <v>102</v>
      </c>
      <c r="R16" s="2"/>
      <c r="S16" s="2"/>
      <c r="T16" s="15">
        <f>T12+T13+T14+T15</f>
        <v>2348.1999999999998</v>
      </c>
      <c r="U16" s="15">
        <f>U12+U13+U14+U15</f>
        <v>2290.8000000000002</v>
      </c>
    </row>
    <row r="17" spans="2:21" x14ac:dyDescent="0.25">
      <c r="B17" s="2"/>
      <c r="C17" s="7" t="s">
        <v>13</v>
      </c>
      <c r="D17" s="7"/>
      <c r="E17" s="7"/>
      <c r="F17" s="7"/>
      <c r="G17" s="7"/>
      <c r="H17" s="2"/>
      <c r="I17" s="2" t="s">
        <v>61</v>
      </c>
      <c r="J17" s="41">
        <v>-1019.4</v>
      </c>
      <c r="K17" s="41">
        <v>-84.4</v>
      </c>
      <c r="L17" s="41">
        <v>-64.8</v>
      </c>
      <c r="M17" s="41">
        <v>-7.3</v>
      </c>
      <c r="N17" s="41">
        <v>4.3</v>
      </c>
      <c r="O17" s="41">
        <f>L17+N17-M17</f>
        <v>-53.2</v>
      </c>
      <c r="P17" s="2"/>
      <c r="Q17" s="2" t="s">
        <v>103</v>
      </c>
      <c r="R17" s="2"/>
      <c r="S17" s="2"/>
      <c r="T17" s="41">
        <v>4.5</v>
      </c>
      <c r="U17" s="41">
        <v>8.9</v>
      </c>
    </row>
    <row r="18" spans="2:21" x14ac:dyDescent="0.25">
      <c r="B18" s="2"/>
      <c r="C18" s="2" t="s">
        <v>14</v>
      </c>
      <c r="D18" s="2"/>
      <c r="E18" s="2"/>
      <c r="F18" s="2"/>
      <c r="G18" s="18">
        <v>21.08</v>
      </c>
      <c r="H18" s="2"/>
      <c r="I18" s="14" t="s">
        <v>62</v>
      </c>
      <c r="J18" s="15">
        <f>J15-J16-J17</f>
        <v>946</v>
      </c>
      <c r="K18" s="15">
        <f t="shared" ref="K18:O18" si="2">K15-K16-K17</f>
        <v>-793.00000000000011</v>
      </c>
      <c r="L18" s="15">
        <f t="shared" si="2"/>
        <v>-1225.5999999999999</v>
      </c>
      <c r="M18" s="15">
        <f t="shared" si="2"/>
        <v>46.999999999999986</v>
      </c>
      <c r="N18" s="15">
        <f t="shared" si="2"/>
        <v>-141.80000000000001</v>
      </c>
      <c r="O18" s="15">
        <f t="shared" si="2"/>
        <v>-1414.3999999999999</v>
      </c>
      <c r="P18" s="2"/>
      <c r="Q18" s="2" t="s">
        <v>104</v>
      </c>
      <c r="R18" s="2"/>
      <c r="S18" s="2"/>
      <c r="T18" s="41">
        <v>66.5</v>
      </c>
      <c r="U18" s="41">
        <v>82.2</v>
      </c>
    </row>
    <row r="19" spans="2:21" x14ac:dyDescent="0.25">
      <c r="B19" s="2"/>
      <c r="C19" s="2" t="s">
        <v>15</v>
      </c>
      <c r="D19" s="2"/>
      <c r="E19" s="2"/>
      <c r="F19" s="2"/>
      <c r="G19" s="18">
        <v>142.91999999999999</v>
      </c>
      <c r="H19" s="2"/>
      <c r="I19" s="2" t="s">
        <v>63</v>
      </c>
      <c r="J19" s="41">
        <v>208.1</v>
      </c>
      <c r="K19" s="41">
        <v>-61</v>
      </c>
      <c r="L19" s="41">
        <v>24.8</v>
      </c>
      <c r="M19" s="41">
        <v>2.1</v>
      </c>
      <c r="N19" s="41">
        <v>0.7</v>
      </c>
      <c r="O19" s="41">
        <f>L19+N19-M19</f>
        <v>23.4</v>
      </c>
      <c r="P19" s="2"/>
      <c r="Q19" s="2" t="s">
        <v>105</v>
      </c>
      <c r="R19" s="2"/>
      <c r="S19" s="2"/>
      <c r="T19" s="41">
        <v>705.1</v>
      </c>
      <c r="U19" s="41">
        <v>683.4</v>
      </c>
    </row>
    <row r="20" spans="2:21" x14ac:dyDescent="0.25">
      <c r="B20" s="2"/>
      <c r="C20" s="2" t="s">
        <v>16</v>
      </c>
      <c r="D20" s="2"/>
      <c r="E20" s="2"/>
      <c r="F20" s="2"/>
      <c r="G20" s="18">
        <v>16.600000000000001</v>
      </c>
      <c r="H20" s="2"/>
      <c r="I20" s="2" t="s">
        <v>64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2"/>
      <c r="Q20" s="14" t="s">
        <v>106</v>
      </c>
      <c r="R20" s="2"/>
      <c r="S20" s="2"/>
      <c r="T20" s="15">
        <f>SUM(T17:T19)</f>
        <v>776.1</v>
      </c>
      <c r="U20" s="15">
        <f>SUM(U17:U19)</f>
        <v>774.5</v>
      </c>
    </row>
    <row r="21" spans="2:21" x14ac:dyDescent="0.25">
      <c r="B21" s="2"/>
      <c r="C21" s="2" t="s">
        <v>17</v>
      </c>
      <c r="D21" s="2"/>
      <c r="E21" s="2"/>
      <c r="F21" s="2"/>
      <c r="G21" s="18">
        <v>0</v>
      </c>
      <c r="H21" s="2"/>
      <c r="I21" s="2" t="s">
        <v>65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2"/>
      <c r="Q21" s="2" t="s">
        <v>107</v>
      </c>
      <c r="R21" s="2"/>
      <c r="S21" s="2"/>
      <c r="T21" s="41">
        <v>0</v>
      </c>
      <c r="U21" s="41">
        <v>0</v>
      </c>
    </row>
    <row r="22" spans="2:21" x14ac:dyDescent="0.25">
      <c r="B22" s="2"/>
      <c r="C22" s="2" t="s">
        <v>18</v>
      </c>
      <c r="D22" s="2"/>
      <c r="E22" s="2"/>
      <c r="F22" s="2"/>
      <c r="G22" s="19">
        <f>U55</f>
        <v>500</v>
      </c>
      <c r="H22" s="2"/>
      <c r="I22" s="14" t="s">
        <v>66</v>
      </c>
      <c r="J22" s="15">
        <f>J18-J19-J20-J21</f>
        <v>737.9</v>
      </c>
      <c r="K22" s="15">
        <f t="shared" ref="K22:O22" si="3">K18-K19-K20-K21</f>
        <v>-732.00000000000011</v>
      </c>
      <c r="L22" s="15">
        <f t="shared" si="3"/>
        <v>-1250.3999999999999</v>
      </c>
      <c r="M22" s="15">
        <f t="shared" si="3"/>
        <v>44.899999999999984</v>
      </c>
      <c r="N22" s="15">
        <f t="shared" si="3"/>
        <v>-142.5</v>
      </c>
      <c r="O22" s="15">
        <f t="shared" si="3"/>
        <v>-1437.8</v>
      </c>
      <c r="P22" s="2"/>
      <c r="Q22" s="2" t="s">
        <v>108</v>
      </c>
      <c r="R22" s="2"/>
      <c r="S22" s="2"/>
      <c r="T22" s="41">
        <v>61.5</v>
      </c>
      <c r="U22" s="41">
        <v>59.3</v>
      </c>
    </row>
    <row r="23" spans="2:21" x14ac:dyDescent="0.25">
      <c r="B23" s="2"/>
      <c r="C23" s="14" t="s">
        <v>19</v>
      </c>
      <c r="D23" s="2"/>
      <c r="E23" s="2"/>
      <c r="F23" s="2"/>
      <c r="G23" s="20">
        <f>G18*G22</f>
        <v>10540</v>
      </c>
      <c r="H23" s="2"/>
      <c r="I23" s="2" t="s">
        <v>67</v>
      </c>
      <c r="J23" s="21">
        <f>IFERROR(J19/J18,0)</f>
        <v>0.21997885835095138</v>
      </c>
      <c r="K23" s="21">
        <f t="shared" ref="K23:O23" si="4">IFERROR(K19/K18,0)</f>
        <v>7.6923076923076913E-2</v>
      </c>
      <c r="L23" s="21">
        <f t="shared" si="4"/>
        <v>-2.0234986945169713E-2</v>
      </c>
      <c r="M23" s="21">
        <f t="shared" si="4"/>
        <v>4.4680851063829803E-2</v>
      </c>
      <c r="N23" s="21">
        <f t="shared" si="4"/>
        <v>-4.9365303244005634E-3</v>
      </c>
      <c r="O23" s="21">
        <f t="shared" si="4"/>
        <v>-1.6544117647058824E-2</v>
      </c>
      <c r="P23" s="2"/>
      <c r="Q23" s="14" t="s">
        <v>109</v>
      </c>
      <c r="R23" s="2"/>
      <c r="S23" s="2"/>
      <c r="T23" s="15">
        <f>T20+T21+T22</f>
        <v>837.6</v>
      </c>
      <c r="U23" s="15">
        <f>U20+U21+U22</f>
        <v>833.8</v>
      </c>
    </row>
    <row r="24" spans="2:21" x14ac:dyDescent="0.25">
      <c r="B24" s="2"/>
      <c r="C24" s="2" t="s">
        <v>20</v>
      </c>
      <c r="D24" s="2"/>
      <c r="E24" s="2"/>
      <c r="F24" s="2"/>
      <c r="G24" s="22">
        <f>U21</f>
        <v>0</v>
      </c>
      <c r="H24" s="2"/>
      <c r="I24" s="2" t="s">
        <v>68</v>
      </c>
      <c r="J24" s="42">
        <v>187.2</v>
      </c>
      <c r="K24" s="42">
        <v>195.6</v>
      </c>
      <c r="L24" s="42">
        <v>337</v>
      </c>
      <c r="M24" s="42">
        <v>231.1</v>
      </c>
      <c r="N24" s="42">
        <v>523.5</v>
      </c>
      <c r="O24" s="42">
        <f>N24</f>
        <v>523.5</v>
      </c>
      <c r="P24" s="2"/>
      <c r="Q24" s="2" t="s">
        <v>64</v>
      </c>
      <c r="R24" s="2"/>
      <c r="S24" s="2"/>
      <c r="T24" s="41">
        <v>0</v>
      </c>
      <c r="U24" s="41">
        <v>0</v>
      </c>
    </row>
    <row r="25" spans="2:21" x14ac:dyDescent="0.25">
      <c r="B25" s="2"/>
      <c r="C25" s="2" t="s">
        <v>21</v>
      </c>
      <c r="D25" s="2"/>
      <c r="E25" s="2"/>
      <c r="F25" s="2"/>
      <c r="G25" s="22">
        <f>U25</f>
        <v>0</v>
      </c>
      <c r="H25" s="2"/>
      <c r="I25" s="2" t="s">
        <v>69</v>
      </c>
      <c r="J25" s="23">
        <f>IFERROR(J22/J24,0)</f>
        <v>3.9417735042735043</v>
      </c>
      <c r="K25" s="23">
        <f t="shared" ref="K25:O25" si="5">IFERROR(K22/K24,0)</f>
        <v>-3.7423312883435589</v>
      </c>
      <c r="L25" s="23">
        <f t="shared" si="5"/>
        <v>-3.7103857566765575</v>
      </c>
      <c r="M25" s="23">
        <f t="shared" si="5"/>
        <v>0.19428818693206398</v>
      </c>
      <c r="N25" s="23">
        <f t="shared" si="5"/>
        <v>-0.27220630372492838</v>
      </c>
      <c r="O25" s="23">
        <f t="shared" si="5"/>
        <v>-2.7465138490926457</v>
      </c>
      <c r="P25" s="2"/>
      <c r="Q25" s="2" t="s">
        <v>110</v>
      </c>
      <c r="R25" s="2"/>
      <c r="S25" s="2"/>
      <c r="T25" s="41">
        <v>0</v>
      </c>
      <c r="U25" s="41">
        <v>0</v>
      </c>
    </row>
    <row r="26" spans="2:21" x14ac:dyDescent="0.25">
      <c r="B26" s="2"/>
      <c r="C26" s="2" t="s">
        <v>22</v>
      </c>
      <c r="D26" s="2"/>
      <c r="E26" s="2"/>
      <c r="F26" s="2"/>
      <c r="G26" s="22">
        <f>U24</f>
        <v>0</v>
      </c>
      <c r="H26" s="2"/>
      <c r="I26" s="2"/>
      <c r="J26" s="2"/>
      <c r="K26" s="2"/>
      <c r="L26" s="2"/>
      <c r="M26" s="2"/>
      <c r="N26" s="2"/>
      <c r="O26" s="2"/>
      <c r="P26" s="2"/>
      <c r="Q26" s="2" t="s">
        <v>111</v>
      </c>
      <c r="R26" s="2"/>
      <c r="S26" s="2"/>
      <c r="T26" s="41">
        <v>1510.6</v>
      </c>
      <c r="U26" s="41">
        <v>1457</v>
      </c>
    </row>
    <row r="27" spans="2:21" x14ac:dyDescent="0.25">
      <c r="B27" s="2"/>
      <c r="C27" s="2" t="s">
        <v>23</v>
      </c>
      <c r="D27" s="2"/>
      <c r="E27" s="2"/>
      <c r="F27" s="2"/>
      <c r="G27" s="22">
        <f>-U8</f>
        <v>-1654.2</v>
      </c>
      <c r="H27" s="2"/>
      <c r="I27" s="7" t="s">
        <v>70</v>
      </c>
      <c r="J27" s="7"/>
      <c r="K27" s="7"/>
      <c r="L27" s="7"/>
      <c r="M27" s="7"/>
      <c r="N27" s="7"/>
      <c r="O27" s="7"/>
      <c r="P27" s="2"/>
      <c r="Q27" s="14" t="s">
        <v>112</v>
      </c>
      <c r="R27" s="2"/>
      <c r="S27" s="2"/>
      <c r="T27" s="15">
        <f>T23+T24+T25+T26</f>
        <v>2348.1999999999998</v>
      </c>
      <c r="U27" s="15">
        <f>U23+U24+U25+U26</f>
        <v>2290.8000000000002</v>
      </c>
    </row>
    <row r="28" spans="2:21" ht="14.4" thickBot="1" x14ac:dyDescent="0.3">
      <c r="B28" s="2"/>
      <c r="C28" s="14" t="s">
        <v>24</v>
      </c>
      <c r="D28" s="2"/>
      <c r="E28" s="2"/>
      <c r="F28" s="2"/>
      <c r="G28" s="24">
        <f>SUM(G23:G27)</f>
        <v>8885.7999999999993</v>
      </c>
      <c r="H28" s="2"/>
      <c r="I28" s="2" t="s">
        <v>71</v>
      </c>
      <c r="J28" s="25">
        <f>J13</f>
        <v>460.4</v>
      </c>
      <c r="K28" s="25">
        <f t="shared" ref="K28:O28" si="6">K13</f>
        <v>661.5</v>
      </c>
      <c r="L28" s="25">
        <f t="shared" si="6"/>
        <v>870.3</v>
      </c>
      <c r="M28" s="25">
        <f t="shared" si="6"/>
        <v>208.7</v>
      </c>
      <c r="N28" s="25">
        <f t="shared" si="6"/>
        <v>264.7</v>
      </c>
      <c r="O28" s="25">
        <f t="shared" si="6"/>
        <v>926.29999999999973</v>
      </c>
      <c r="P28" s="2"/>
      <c r="Q28" s="6" t="s">
        <v>113</v>
      </c>
      <c r="R28" s="2"/>
      <c r="S28" s="2"/>
      <c r="T28" s="26">
        <f>T16-T27</f>
        <v>0</v>
      </c>
      <c r="U28" s="26">
        <f>U16-U27</f>
        <v>0</v>
      </c>
    </row>
    <row r="29" spans="2:21" ht="14.4" thickTop="1" x14ac:dyDescent="0.25">
      <c r="B29" s="2"/>
      <c r="C29" s="2"/>
      <c r="D29" s="2"/>
      <c r="E29" s="2"/>
      <c r="F29" s="2"/>
      <c r="G29" s="2"/>
      <c r="H29" s="2"/>
      <c r="I29" s="2" t="s">
        <v>72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f>L29+N29-M29</f>
        <v>0</v>
      </c>
      <c r="P29" s="2"/>
      <c r="Q29" s="6"/>
      <c r="R29" s="2"/>
      <c r="S29" s="2"/>
      <c r="T29" s="26"/>
      <c r="U29" s="26"/>
    </row>
    <row r="30" spans="2:21" x14ac:dyDescent="0.25">
      <c r="B30" s="2"/>
      <c r="C30" s="7" t="s">
        <v>25</v>
      </c>
      <c r="D30" s="7"/>
      <c r="E30" s="7"/>
      <c r="F30" s="7"/>
      <c r="G30" s="7"/>
      <c r="H30" s="2"/>
      <c r="I30" s="14" t="s">
        <v>73</v>
      </c>
      <c r="J30" s="15">
        <f>J28+J29</f>
        <v>460.4</v>
      </c>
      <c r="K30" s="15">
        <f t="shared" ref="K30:O30" si="7">K28+K29</f>
        <v>661.5</v>
      </c>
      <c r="L30" s="15">
        <f t="shared" si="7"/>
        <v>870.3</v>
      </c>
      <c r="M30" s="15">
        <f t="shared" si="7"/>
        <v>208.7</v>
      </c>
      <c r="N30" s="15">
        <f t="shared" si="7"/>
        <v>264.7</v>
      </c>
      <c r="O30" s="15">
        <f t="shared" si="7"/>
        <v>926.29999999999973</v>
      </c>
      <c r="P30" s="2"/>
      <c r="Q30" s="2"/>
      <c r="R30" s="2"/>
      <c r="S30" s="2"/>
      <c r="T30" s="2"/>
      <c r="U30" s="2"/>
    </row>
    <row r="31" spans="2:21" x14ac:dyDescent="0.25">
      <c r="B31" s="2"/>
      <c r="C31" s="2"/>
      <c r="D31" s="11" t="s">
        <v>26</v>
      </c>
      <c r="E31" s="11" t="s">
        <v>27</v>
      </c>
      <c r="F31" s="11" t="s">
        <v>28</v>
      </c>
      <c r="G31" s="11" t="s">
        <v>29</v>
      </c>
      <c r="H31" s="2"/>
      <c r="I31" s="6" t="s">
        <v>74</v>
      </c>
      <c r="J31" s="27">
        <f>IFERROR(J30/J11,0)</f>
        <v>0.91186373539314713</v>
      </c>
      <c r="K31" s="27">
        <f t="shared" ref="K31:O31" si="8">IFERROR(K30/K11,0)</f>
        <v>0.88317757009345799</v>
      </c>
      <c r="L31" s="27">
        <f t="shared" si="8"/>
        <v>0.82430384542526991</v>
      </c>
      <c r="M31" s="27">
        <f t="shared" si="8"/>
        <v>0.91454864154250659</v>
      </c>
      <c r="N31" s="27">
        <f t="shared" si="8"/>
        <v>0.79394121175764854</v>
      </c>
      <c r="O31" s="27">
        <f t="shared" si="8"/>
        <v>0.79784668389319546</v>
      </c>
      <c r="P31" s="2"/>
      <c r="Q31" s="7" t="s">
        <v>114</v>
      </c>
      <c r="R31" s="28" t="s">
        <v>115</v>
      </c>
      <c r="S31" s="28" t="s">
        <v>116</v>
      </c>
      <c r="T31" s="28" t="s">
        <v>117</v>
      </c>
      <c r="U31" s="28" t="s">
        <v>118</v>
      </c>
    </row>
    <row r="32" spans="2:21" x14ac:dyDescent="0.25">
      <c r="B32" s="2"/>
      <c r="C32" s="2"/>
      <c r="D32" s="49">
        <f>DATE(2026,3,31)</f>
        <v>46112</v>
      </c>
      <c r="E32" s="29" t="s">
        <v>142</v>
      </c>
      <c r="F32" s="29" t="s">
        <v>143</v>
      </c>
      <c r="G32" s="29" t="s">
        <v>144</v>
      </c>
      <c r="H32" s="2"/>
      <c r="I32" s="2" t="s">
        <v>75</v>
      </c>
      <c r="J32" s="25">
        <f>J15</f>
        <v>-73.399999999999977</v>
      </c>
      <c r="K32" s="25">
        <f t="shared" ref="K32:O32" si="9">K15</f>
        <v>-877.40000000000009</v>
      </c>
      <c r="L32" s="25">
        <f t="shared" si="9"/>
        <v>-1290.3999999999999</v>
      </c>
      <c r="M32" s="25">
        <f t="shared" si="9"/>
        <v>39.699999999999989</v>
      </c>
      <c r="N32" s="25">
        <f t="shared" si="9"/>
        <v>-137.5</v>
      </c>
      <c r="O32" s="25">
        <f t="shared" si="9"/>
        <v>-1467.6</v>
      </c>
      <c r="P32" s="2"/>
      <c r="Q32" s="2" t="s">
        <v>119</v>
      </c>
      <c r="R32" s="42">
        <v>0</v>
      </c>
      <c r="S32" s="18">
        <v>0</v>
      </c>
      <c r="T32" s="19">
        <f>IF(AND(S32&gt;0,S32&lt;$G$18),R32,0)</f>
        <v>0</v>
      </c>
      <c r="U32" s="25">
        <f>T32*S32</f>
        <v>0</v>
      </c>
    </row>
    <row r="33" spans="2:21" x14ac:dyDescent="0.25">
      <c r="B33" s="2"/>
      <c r="C33" s="14" t="s">
        <v>30</v>
      </c>
      <c r="D33" s="47">
        <f>G28/O11</f>
        <v>7.6535745047372963</v>
      </c>
      <c r="E33" s="47">
        <f>G28/E34</f>
        <v>6.2356491228070174</v>
      </c>
      <c r="F33" s="30" t="s">
        <v>9</v>
      </c>
      <c r="G33" s="30" t="s">
        <v>9</v>
      </c>
      <c r="H33" s="2"/>
      <c r="I33" s="2" t="s">
        <v>72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f>L33+N33-M33</f>
        <v>0</v>
      </c>
      <c r="P33" s="2"/>
      <c r="Q33" s="2" t="s">
        <v>120</v>
      </c>
      <c r="R33" s="42">
        <v>0</v>
      </c>
      <c r="S33" s="18">
        <v>0</v>
      </c>
      <c r="T33" s="19">
        <f t="shared" ref="T33:T36" si="10">IF(AND(S33&gt;0,S33&lt;$G$18),R33,0)</f>
        <v>0</v>
      </c>
      <c r="U33" s="25">
        <f t="shared" ref="U33:U36" si="11">T33*S33</f>
        <v>0</v>
      </c>
    </row>
    <row r="34" spans="2:21" x14ac:dyDescent="0.25">
      <c r="B34" s="2"/>
      <c r="C34" s="6" t="s">
        <v>31</v>
      </c>
      <c r="D34" s="48">
        <f>O11</f>
        <v>1160.9999999999998</v>
      </c>
      <c r="E34" s="48">
        <v>1425</v>
      </c>
      <c r="F34" s="2"/>
      <c r="G34" s="2"/>
      <c r="H34" s="2"/>
      <c r="I34" s="2" t="s">
        <v>76</v>
      </c>
      <c r="J34" s="41">
        <v>0</v>
      </c>
      <c r="K34" s="41">
        <v>889.3</v>
      </c>
      <c r="L34" s="41">
        <v>975.7</v>
      </c>
      <c r="M34" s="41">
        <v>0</v>
      </c>
      <c r="N34" s="41">
        <v>0</v>
      </c>
      <c r="O34" s="41">
        <f>L34+N34-M34</f>
        <v>975.7</v>
      </c>
      <c r="P34" s="2"/>
      <c r="Q34" s="2" t="s">
        <v>121</v>
      </c>
      <c r="R34" s="42">
        <v>0</v>
      </c>
      <c r="S34" s="18">
        <v>0</v>
      </c>
      <c r="T34" s="19">
        <f t="shared" si="10"/>
        <v>0</v>
      </c>
      <c r="U34" s="25">
        <f t="shared" si="11"/>
        <v>0</v>
      </c>
    </row>
    <row r="35" spans="2:21" x14ac:dyDescent="0.25">
      <c r="B35" s="2"/>
      <c r="C35" s="14" t="s">
        <v>32</v>
      </c>
      <c r="D35" s="266" t="str">
        <f>IF(O38&lt;=0,"NM",IF(G28/O38&gt;NM_Cap,"NM",G28/O38))</f>
        <v>NM</v>
      </c>
      <c r="E35" s="30" t="s">
        <v>9</v>
      </c>
      <c r="F35" s="30" t="s">
        <v>9</v>
      </c>
      <c r="G35" s="30" t="s">
        <v>9</v>
      </c>
      <c r="H35" s="2"/>
      <c r="I35" s="14" t="s">
        <v>77</v>
      </c>
      <c r="J35" s="15">
        <f>J32+J33+J34</f>
        <v>-73.399999999999977</v>
      </c>
      <c r="K35" s="15">
        <f t="shared" ref="K35:O35" si="12">K32+K33+K34</f>
        <v>11.899999999999864</v>
      </c>
      <c r="L35" s="15">
        <f t="shared" si="12"/>
        <v>-314.69999999999982</v>
      </c>
      <c r="M35" s="15">
        <f t="shared" si="12"/>
        <v>39.699999999999989</v>
      </c>
      <c r="N35" s="15">
        <f t="shared" si="12"/>
        <v>-137.5</v>
      </c>
      <c r="O35" s="15">
        <f t="shared" si="12"/>
        <v>-491.89999999999986</v>
      </c>
      <c r="P35" s="2"/>
      <c r="Q35" s="2" t="s">
        <v>122</v>
      </c>
      <c r="R35" s="42">
        <v>0</v>
      </c>
      <c r="S35" s="18">
        <v>0</v>
      </c>
      <c r="T35" s="19">
        <f t="shared" si="10"/>
        <v>0</v>
      </c>
      <c r="U35" s="25">
        <f t="shared" si="11"/>
        <v>0</v>
      </c>
    </row>
    <row r="36" spans="2:21" x14ac:dyDescent="0.25">
      <c r="B36" s="2"/>
      <c r="C36" s="6" t="s">
        <v>31</v>
      </c>
      <c r="D36" s="48">
        <f>O38</f>
        <v>-471.69999999999987</v>
      </c>
      <c r="E36" s="2"/>
      <c r="F36" s="2"/>
      <c r="G36" s="2"/>
      <c r="H36" s="2"/>
      <c r="I36" s="6" t="s">
        <v>74</v>
      </c>
      <c r="J36" s="27">
        <f>IFERROR(J35/J11,0)</f>
        <v>-0.14537532184591004</v>
      </c>
      <c r="K36" s="27">
        <f t="shared" ref="K36:O36" si="13">IFERROR(K35/K11,0)</f>
        <v>1.5887850467289539E-2</v>
      </c>
      <c r="L36" s="27">
        <f t="shared" si="13"/>
        <v>-0.29806781587421843</v>
      </c>
      <c r="M36" s="27">
        <f t="shared" si="13"/>
        <v>0.17397020157756349</v>
      </c>
      <c r="N36" s="27">
        <f t="shared" si="13"/>
        <v>-0.41241751649670066</v>
      </c>
      <c r="O36" s="27">
        <f t="shared" si="13"/>
        <v>-0.42368647717484925</v>
      </c>
      <c r="P36" s="2"/>
      <c r="Q36" s="2" t="s">
        <v>123</v>
      </c>
      <c r="R36" s="42">
        <v>0</v>
      </c>
      <c r="S36" s="18">
        <v>0</v>
      </c>
      <c r="T36" s="19">
        <f t="shared" si="10"/>
        <v>0</v>
      </c>
      <c r="U36" s="25">
        <f t="shared" si="11"/>
        <v>0</v>
      </c>
    </row>
    <row r="37" spans="2:21" x14ac:dyDescent="0.25">
      <c r="B37" s="2"/>
      <c r="C37" s="14" t="s">
        <v>33</v>
      </c>
      <c r="D37" s="266" t="str">
        <f>IF(O35&lt;=0,"NM",IF(G28/O35&gt;NM_Cap,"NM",G28/O35))</f>
        <v>NM</v>
      </c>
      <c r="E37" s="30" t="s">
        <v>9</v>
      </c>
      <c r="F37" s="30" t="s">
        <v>9</v>
      </c>
      <c r="G37" s="30" t="s">
        <v>9</v>
      </c>
      <c r="H37" s="2"/>
      <c r="I37" s="2" t="s">
        <v>78</v>
      </c>
      <c r="J37" s="41">
        <v>8.5</v>
      </c>
      <c r="K37" s="41">
        <v>7.7</v>
      </c>
      <c r="L37" s="41">
        <v>15.6</v>
      </c>
      <c r="M37" s="41">
        <v>1.5</v>
      </c>
      <c r="N37" s="41">
        <v>6.1</v>
      </c>
      <c r="O37" s="41">
        <f>L37+N37-M37</f>
        <v>20.2</v>
      </c>
      <c r="P37" s="2"/>
      <c r="Q37" s="14" t="s">
        <v>124</v>
      </c>
      <c r="R37" s="31">
        <f>SUM(R32:R36)</f>
        <v>0</v>
      </c>
      <c r="S37" s="43"/>
      <c r="T37" s="31">
        <f>SUM(T32:T36)</f>
        <v>0</v>
      </c>
      <c r="U37" s="15">
        <f>SUM(U32:U36)</f>
        <v>0</v>
      </c>
    </row>
    <row r="38" spans="2:21" x14ac:dyDescent="0.25">
      <c r="B38" s="2"/>
      <c r="C38" s="6" t="s">
        <v>31</v>
      </c>
      <c r="D38" s="48">
        <f>O35</f>
        <v>-491.89999999999986</v>
      </c>
      <c r="E38" s="2"/>
      <c r="F38" s="2"/>
      <c r="G38" s="2"/>
      <c r="H38" s="2"/>
      <c r="I38" s="14" t="s">
        <v>79</v>
      </c>
      <c r="J38" s="15">
        <f>J35+J37</f>
        <v>-64.899999999999977</v>
      </c>
      <c r="K38" s="15">
        <f t="shared" ref="K38:O38" si="14">K35+K37</f>
        <v>19.599999999999863</v>
      </c>
      <c r="L38" s="15">
        <f t="shared" si="14"/>
        <v>-299.0999999999998</v>
      </c>
      <c r="M38" s="15">
        <f t="shared" si="14"/>
        <v>41.199999999999989</v>
      </c>
      <c r="N38" s="15">
        <f t="shared" si="14"/>
        <v>-131.4</v>
      </c>
      <c r="O38" s="15">
        <f t="shared" si="14"/>
        <v>-471.69999999999987</v>
      </c>
      <c r="P38" s="2"/>
      <c r="Q38" s="14"/>
      <c r="R38" s="32"/>
      <c r="S38" s="2"/>
      <c r="T38" s="32"/>
      <c r="U38" s="33"/>
    </row>
    <row r="39" spans="2:21" x14ac:dyDescent="0.25">
      <c r="B39" s="2"/>
      <c r="C39" s="14" t="s">
        <v>34</v>
      </c>
      <c r="D39" s="266" t="str">
        <f>IF(O46&lt;=0,"NM",IF(G18/O46&gt;NM_Cap,"NM",G18/O46))</f>
        <v>NM</v>
      </c>
      <c r="E39" s="266" t="str">
        <f>IFERROR(IF(E40&lt;=0,"NM",IF(G18/E40&gt;NM_Cap,"NM",G18/E40)),"NA")</f>
        <v>NM</v>
      </c>
      <c r="F39" s="30" t="s">
        <v>9</v>
      </c>
      <c r="G39" s="30" t="s">
        <v>9</v>
      </c>
      <c r="H39" s="2"/>
      <c r="I39" s="6" t="s">
        <v>74</v>
      </c>
      <c r="J39" s="27">
        <f>IFERROR(J38/J11,0)</f>
        <v>-0.1285403050108932</v>
      </c>
      <c r="K39" s="27">
        <f t="shared" ref="K39:O39" si="15">IFERROR(K38/K11,0)</f>
        <v>2.6168224299065238E-2</v>
      </c>
      <c r="L39" s="27">
        <f t="shared" si="15"/>
        <v>-0.28329229020647834</v>
      </c>
      <c r="M39" s="27">
        <f t="shared" si="15"/>
        <v>0.18054338299737069</v>
      </c>
      <c r="N39" s="27">
        <f t="shared" si="15"/>
        <v>-0.39412117576484706</v>
      </c>
      <c r="O39" s="27">
        <f t="shared" si="15"/>
        <v>-0.40628768303186907</v>
      </c>
      <c r="P39" s="2"/>
      <c r="Q39" s="2"/>
      <c r="R39" s="2"/>
      <c r="S39" s="2"/>
      <c r="T39" s="2"/>
      <c r="U39" s="2"/>
    </row>
    <row r="40" spans="2:21" x14ac:dyDescent="0.25">
      <c r="B40" s="2"/>
      <c r="C40" s="6" t="s">
        <v>31</v>
      </c>
      <c r="D40" s="23">
        <f>O46</f>
        <v>-1.274110792741165</v>
      </c>
      <c r="E40" s="2"/>
      <c r="F40" s="2"/>
      <c r="G40" s="2"/>
      <c r="H40" s="2"/>
      <c r="I40" s="2" t="s">
        <v>80</v>
      </c>
      <c r="J40" s="25">
        <f>J22</f>
        <v>737.9</v>
      </c>
      <c r="K40" s="25">
        <f t="shared" ref="K40:O40" si="16">K22</f>
        <v>-732.00000000000011</v>
      </c>
      <c r="L40" s="25">
        <f t="shared" si="16"/>
        <v>-1250.3999999999999</v>
      </c>
      <c r="M40" s="25">
        <f t="shared" si="16"/>
        <v>44.899999999999984</v>
      </c>
      <c r="N40" s="25">
        <f t="shared" si="16"/>
        <v>-142.5</v>
      </c>
      <c r="O40" s="25">
        <f t="shared" si="16"/>
        <v>-1437.8</v>
      </c>
      <c r="P40" s="2"/>
      <c r="Q40" s="7" t="s">
        <v>125</v>
      </c>
      <c r="R40" s="28" t="s">
        <v>126</v>
      </c>
      <c r="S40" s="28" t="s">
        <v>127</v>
      </c>
      <c r="T40" s="28" t="s">
        <v>128</v>
      </c>
      <c r="U40" s="28" t="s">
        <v>129</v>
      </c>
    </row>
    <row r="41" spans="2:21" x14ac:dyDescent="0.25">
      <c r="B41" s="2"/>
      <c r="C41" s="14" t="s">
        <v>35</v>
      </c>
      <c r="D41" s="34">
        <f>IFERROR(O51/G23,0)</f>
        <v>2.2722960151802658E-2</v>
      </c>
      <c r="E41" s="30" t="s">
        <v>9</v>
      </c>
      <c r="F41" s="30" t="s">
        <v>9</v>
      </c>
      <c r="G41" s="30" t="s">
        <v>9</v>
      </c>
      <c r="H41" s="2"/>
      <c r="I41" s="2" t="s">
        <v>76</v>
      </c>
      <c r="J41" s="41">
        <v>-1000</v>
      </c>
      <c r="K41" s="41">
        <f>K34</f>
        <v>889.3</v>
      </c>
      <c r="L41" s="41">
        <f>L34</f>
        <v>975.7</v>
      </c>
      <c r="M41" s="41">
        <v>0</v>
      </c>
      <c r="N41" s="41">
        <v>0</v>
      </c>
      <c r="O41" s="41">
        <f>L41+N41-M41</f>
        <v>975.7</v>
      </c>
      <c r="P41" s="2"/>
      <c r="Q41" s="2" t="s">
        <v>130</v>
      </c>
      <c r="R41" s="41">
        <v>0</v>
      </c>
      <c r="S41" s="18">
        <v>0</v>
      </c>
      <c r="T41" s="44">
        <f>IFERROR(1000/S41,0)</f>
        <v>0</v>
      </c>
      <c r="U41" s="19">
        <f>IFERROR(R41/S41,0)</f>
        <v>0</v>
      </c>
    </row>
    <row r="42" spans="2:21" x14ac:dyDescent="0.25">
      <c r="B42" s="2"/>
      <c r="C42" s="6" t="s">
        <v>31</v>
      </c>
      <c r="D42" s="48">
        <f>O51</f>
        <v>239.5</v>
      </c>
      <c r="E42" s="2"/>
      <c r="F42" s="2"/>
      <c r="G42" s="2"/>
      <c r="H42" s="2"/>
      <c r="I42" s="2" t="s">
        <v>72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1">
        <f>L42+N42-M42</f>
        <v>0</v>
      </c>
      <c r="P42" s="2"/>
      <c r="Q42" s="2" t="s">
        <v>131</v>
      </c>
      <c r="R42" s="41">
        <v>0</v>
      </c>
      <c r="S42" s="18">
        <v>0</v>
      </c>
      <c r="T42" s="44">
        <f t="shared" ref="T42:T45" si="17">IFERROR(1000/S42,0)</f>
        <v>0</v>
      </c>
      <c r="U42" s="19">
        <f t="shared" ref="U42:U45" si="18">IFERROR(R42/S42,0)</f>
        <v>0</v>
      </c>
    </row>
    <row r="43" spans="2:21" x14ac:dyDescent="0.25">
      <c r="B43" s="2"/>
      <c r="C43" s="2"/>
      <c r="D43" s="2"/>
      <c r="E43" s="2"/>
      <c r="F43" s="2"/>
      <c r="G43" s="2"/>
      <c r="H43" s="2"/>
      <c r="I43" s="2" t="s">
        <v>81</v>
      </c>
      <c r="J43" s="41">
        <f>-J41*$G$15</f>
        <v>210</v>
      </c>
      <c r="K43" s="41">
        <f>-K41*$G$15</f>
        <v>-186.75299999999999</v>
      </c>
      <c r="L43" s="41">
        <f>-L41*$G$15</f>
        <v>-204.89699999999999</v>
      </c>
      <c r="M43" s="41">
        <v>0</v>
      </c>
      <c r="N43" s="41">
        <v>0</v>
      </c>
      <c r="O43" s="41">
        <f>L43+N43-M43</f>
        <v>-204.89699999999999</v>
      </c>
      <c r="P43" s="2"/>
      <c r="Q43" s="2" t="s">
        <v>132</v>
      </c>
      <c r="R43" s="41">
        <v>0</v>
      </c>
      <c r="S43" s="18">
        <v>0</v>
      </c>
      <c r="T43" s="44">
        <f t="shared" si="17"/>
        <v>0</v>
      </c>
      <c r="U43" s="19">
        <f t="shared" si="18"/>
        <v>0</v>
      </c>
    </row>
    <row r="44" spans="2:21" x14ac:dyDescent="0.25">
      <c r="B44" s="2"/>
      <c r="C44" s="7" t="s">
        <v>36</v>
      </c>
      <c r="D44" s="7"/>
      <c r="E44" s="7"/>
      <c r="F44" s="7"/>
      <c r="G44" s="7"/>
      <c r="H44" s="2"/>
      <c r="I44" s="14" t="s">
        <v>82</v>
      </c>
      <c r="J44" s="15">
        <f>J40+J41+J42+J43</f>
        <v>-52.100000000000023</v>
      </c>
      <c r="K44" s="15">
        <f t="shared" ref="K44:O44" si="19">K40+K41+K42+K43</f>
        <v>-29.453000000000145</v>
      </c>
      <c r="L44" s="15">
        <f t="shared" si="19"/>
        <v>-479.59699999999981</v>
      </c>
      <c r="M44" s="15">
        <f t="shared" si="19"/>
        <v>44.899999999999984</v>
      </c>
      <c r="N44" s="15">
        <f t="shared" si="19"/>
        <v>-142.5</v>
      </c>
      <c r="O44" s="15">
        <f t="shared" si="19"/>
        <v>-666.99699999999984</v>
      </c>
      <c r="P44" s="2"/>
      <c r="Q44" s="2" t="s">
        <v>133</v>
      </c>
      <c r="R44" s="41">
        <v>0</v>
      </c>
      <c r="S44" s="18">
        <v>0</v>
      </c>
      <c r="T44" s="44">
        <f t="shared" si="17"/>
        <v>0</v>
      </c>
      <c r="U44" s="19">
        <f t="shared" si="18"/>
        <v>0</v>
      </c>
    </row>
    <row r="45" spans="2:21" x14ac:dyDescent="0.25">
      <c r="B45" s="2"/>
      <c r="C45" s="2" t="s">
        <v>37</v>
      </c>
      <c r="D45" s="2"/>
      <c r="E45" s="2"/>
      <c r="F45" s="2"/>
      <c r="G45" s="34">
        <f>IF(U26&lt;=0,"NM",U21/(U21+U26))</f>
        <v>0</v>
      </c>
      <c r="H45" s="2"/>
      <c r="I45" s="6" t="s">
        <v>74</v>
      </c>
      <c r="J45" s="27">
        <f>IFERROR(J44/J11,0)</f>
        <v>-0.10318875024757383</v>
      </c>
      <c r="K45" s="27">
        <f t="shared" ref="K45:O45" si="20">IFERROR(K44/K11,0)</f>
        <v>-3.9323097463284572E-2</v>
      </c>
      <c r="L45" s="27">
        <f t="shared" si="20"/>
        <v>-0.45424985792763767</v>
      </c>
      <c r="M45" s="27">
        <f t="shared" si="20"/>
        <v>0.19675723049956173</v>
      </c>
      <c r="N45" s="27">
        <f t="shared" si="20"/>
        <v>-0.42741451709658074</v>
      </c>
      <c r="O45" s="27">
        <f t="shared" si="20"/>
        <v>-0.57450215331610677</v>
      </c>
      <c r="P45" s="2"/>
      <c r="Q45" s="2" t="s">
        <v>134</v>
      </c>
      <c r="R45" s="41">
        <v>0</v>
      </c>
      <c r="S45" s="18">
        <v>0</v>
      </c>
      <c r="T45" s="44">
        <f t="shared" si="17"/>
        <v>0</v>
      </c>
      <c r="U45" s="19">
        <f t="shared" si="18"/>
        <v>0</v>
      </c>
    </row>
    <row r="46" spans="2:21" x14ac:dyDescent="0.25">
      <c r="B46" s="2"/>
      <c r="C46" s="2" t="s">
        <v>38</v>
      </c>
      <c r="D46" s="2"/>
      <c r="E46" s="2"/>
      <c r="F46" s="2"/>
      <c r="G46" s="34">
        <f>IF(U21+U26&lt;=0,"NM",O35*(1-G15)/(U21+U26))</f>
        <v>-0.26671310912834584</v>
      </c>
      <c r="H46" s="2"/>
      <c r="I46" s="2" t="s">
        <v>83</v>
      </c>
      <c r="J46" s="23">
        <f>IFERROR(J44/J24,0)</f>
        <v>-0.27831196581196593</v>
      </c>
      <c r="K46" s="23">
        <f t="shared" ref="K46:O46" si="21">IFERROR(K44/K24,0)</f>
        <v>-0.1505777096114527</v>
      </c>
      <c r="L46" s="23">
        <f t="shared" si="21"/>
        <v>-1.42313649851632</v>
      </c>
      <c r="M46" s="23">
        <f t="shared" si="21"/>
        <v>0.19428818693206398</v>
      </c>
      <c r="N46" s="23">
        <f t="shared" si="21"/>
        <v>-0.27220630372492838</v>
      </c>
      <c r="O46" s="23">
        <f t="shared" si="21"/>
        <v>-1.274110792741165</v>
      </c>
      <c r="P46" s="2"/>
      <c r="Q46" s="14" t="s">
        <v>124</v>
      </c>
      <c r="R46" s="15">
        <f>SUM(R41:R45)</f>
        <v>0</v>
      </c>
      <c r="S46" s="43"/>
      <c r="T46" s="43"/>
      <c r="U46" s="31">
        <f>SUM(U41:U45)</f>
        <v>0</v>
      </c>
    </row>
    <row r="47" spans="2:21" x14ac:dyDescent="0.25">
      <c r="B47" s="2"/>
      <c r="C47" s="2" t="s">
        <v>39</v>
      </c>
      <c r="D47" s="2"/>
      <c r="E47" s="2"/>
      <c r="F47" s="2"/>
      <c r="G47" s="34">
        <f>IF(U26&lt;=0,"NM",O44/U26)</f>
        <v>-0.45778792038435129</v>
      </c>
      <c r="H47" s="2"/>
      <c r="I47" s="2"/>
      <c r="J47" s="2"/>
      <c r="K47" s="2"/>
      <c r="L47" s="2"/>
      <c r="M47" s="2"/>
      <c r="N47" s="2"/>
      <c r="O47" s="2"/>
      <c r="P47" s="2"/>
      <c r="Q47" s="14"/>
      <c r="R47" s="33"/>
      <c r="S47" s="2"/>
      <c r="T47" s="2"/>
      <c r="U47" s="32"/>
    </row>
    <row r="48" spans="2:21" x14ac:dyDescent="0.25">
      <c r="B48" s="2"/>
      <c r="C48" s="2" t="s">
        <v>40</v>
      </c>
      <c r="D48" s="2"/>
      <c r="E48" s="2"/>
      <c r="F48" s="2"/>
      <c r="G48" s="34">
        <f>IFERROR(O44/U16,"NM")</f>
        <v>-0.29116334904836727</v>
      </c>
      <c r="H48" s="2"/>
      <c r="I48" s="7" t="s">
        <v>84</v>
      </c>
      <c r="J48" s="7"/>
      <c r="K48" s="7"/>
      <c r="L48" s="7"/>
      <c r="M48" s="7"/>
      <c r="N48" s="7"/>
      <c r="O48" s="7"/>
      <c r="P48" s="2"/>
      <c r="Q48" s="2"/>
      <c r="R48" s="2"/>
      <c r="S48" s="2"/>
      <c r="T48" s="2"/>
      <c r="U48" s="2"/>
    </row>
    <row r="49" spans="2:21" x14ac:dyDescent="0.25">
      <c r="B49" s="2"/>
      <c r="C49" s="2" t="s">
        <v>41</v>
      </c>
      <c r="D49" s="2"/>
      <c r="E49" s="2"/>
      <c r="F49" s="2"/>
      <c r="G49" s="35">
        <f>G21*4</f>
        <v>0</v>
      </c>
      <c r="H49" s="2"/>
      <c r="I49" s="2" t="s">
        <v>85</v>
      </c>
      <c r="J49" s="41">
        <v>1047.3</v>
      </c>
      <c r="K49" s="41">
        <v>-61.7</v>
      </c>
      <c r="L49" s="41">
        <v>250.7</v>
      </c>
      <c r="M49" s="41">
        <v>97.2</v>
      </c>
      <c r="N49" s="41">
        <v>97.3</v>
      </c>
      <c r="O49" s="41">
        <f>L49+N49-M49</f>
        <v>250.8</v>
      </c>
      <c r="P49" s="2"/>
      <c r="Q49" s="7" t="s">
        <v>141</v>
      </c>
      <c r="R49" s="7"/>
      <c r="S49" s="7"/>
      <c r="T49" s="7"/>
      <c r="U49" s="7"/>
    </row>
    <row r="50" spans="2:21" x14ac:dyDescent="0.25">
      <c r="B50" s="2"/>
      <c r="C50" s="2"/>
      <c r="D50" s="2"/>
      <c r="E50" s="2"/>
      <c r="F50" s="2"/>
      <c r="G50" s="2"/>
      <c r="H50" s="2"/>
      <c r="I50" s="2" t="s">
        <v>86</v>
      </c>
      <c r="J50" s="41">
        <v>3.7</v>
      </c>
      <c r="K50" s="41">
        <v>2</v>
      </c>
      <c r="L50" s="41">
        <v>4.4000000000000004</v>
      </c>
      <c r="M50" s="41">
        <v>0.9</v>
      </c>
      <c r="N50" s="41">
        <v>7.8</v>
      </c>
      <c r="O50" s="41">
        <f>L50+N50-M50</f>
        <v>11.299999999999999</v>
      </c>
      <c r="P50" s="2"/>
      <c r="Q50" s="2" t="s">
        <v>135</v>
      </c>
      <c r="R50" s="2"/>
      <c r="S50" s="2"/>
      <c r="T50" s="2"/>
      <c r="U50" s="42">
        <v>500</v>
      </c>
    </row>
    <row r="51" spans="2:21" x14ac:dyDescent="0.25">
      <c r="B51" s="2"/>
      <c r="C51" s="7" t="s">
        <v>42</v>
      </c>
      <c r="D51" s="7"/>
      <c r="E51" s="7"/>
      <c r="F51" s="7"/>
      <c r="G51" s="7"/>
      <c r="H51" s="2"/>
      <c r="I51" s="14" t="s">
        <v>87</v>
      </c>
      <c r="J51" s="15">
        <f>J49-J50</f>
        <v>1043.5999999999999</v>
      </c>
      <c r="K51" s="15">
        <f t="shared" ref="K51:O51" si="22">K49-K50</f>
        <v>-63.7</v>
      </c>
      <c r="L51" s="15">
        <f t="shared" si="22"/>
        <v>246.29999999999998</v>
      </c>
      <c r="M51" s="15">
        <f t="shared" si="22"/>
        <v>96.3</v>
      </c>
      <c r="N51" s="15">
        <f t="shared" si="22"/>
        <v>89.5</v>
      </c>
      <c r="O51" s="15">
        <f t="shared" si="22"/>
        <v>239.5</v>
      </c>
      <c r="P51" s="2"/>
      <c r="Q51" s="2" t="s">
        <v>136</v>
      </c>
      <c r="R51" s="2"/>
      <c r="S51" s="2"/>
      <c r="T51" s="2"/>
      <c r="U51" s="19">
        <f>T37</f>
        <v>0</v>
      </c>
    </row>
    <row r="52" spans="2:21" x14ac:dyDescent="0.25">
      <c r="B52" s="2"/>
      <c r="C52" s="2"/>
      <c r="D52" s="36" t="s">
        <v>43</v>
      </c>
      <c r="E52" s="36" t="s">
        <v>44</v>
      </c>
      <c r="F52" s="36" t="s">
        <v>45</v>
      </c>
      <c r="G52" s="36" t="s">
        <v>46</v>
      </c>
      <c r="H52" s="2"/>
      <c r="I52" s="6" t="s">
        <v>74</v>
      </c>
      <c r="J52" s="27">
        <f>IFERROR(J51/J11,0)</f>
        <v>2.0669439492968902</v>
      </c>
      <c r="K52" s="27">
        <f t="shared" ref="K52:O52" si="23">IFERROR(K51/K11,0)</f>
        <v>-8.5046728971962623E-2</v>
      </c>
      <c r="L52" s="27">
        <f t="shared" si="23"/>
        <v>0.23328281871566584</v>
      </c>
      <c r="M52" s="27">
        <f t="shared" si="23"/>
        <v>0.42199824715162138</v>
      </c>
      <c r="N52" s="27">
        <f t="shared" si="23"/>
        <v>0.26844631073785247</v>
      </c>
      <c r="O52" s="27">
        <f t="shared" si="23"/>
        <v>0.20628768303186912</v>
      </c>
      <c r="P52" s="2"/>
      <c r="Q52" s="2" t="s">
        <v>137</v>
      </c>
      <c r="R52" s="2"/>
      <c r="S52" s="2"/>
      <c r="T52" s="2"/>
      <c r="U52" s="37">
        <f>-IFERROR(U37/G18,0)</f>
        <v>0</v>
      </c>
    </row>
    <row r="53" spans="2:21" x14ac:dyDescent="0.25">
      <c r="B53" s="2"/>
      <c r="C53" s="38" t="s">
        <v>47</v>
      </c>
      <c r="D53" s="2"/>
      <c r="E53" s="2"/>
      <c r="F53" s="2"/>
      <c r="G53" s="2"/>
      <c r="H53" s="2"/>
      <c r="I53" s="2" t="s">
        <v>88</v>
      </c>
      <c r="J53" s="23">
        <f>IFERROR(J51/J24,0)</f>
        <v>5.5747863247863245</v>
      </c>
      <c r="K53" s="23">
        <f t="shared" ref="K53:O53" si="24">IFERROR(K51/K24,0)</f>
        <v>-0.32566462167689164</v>
      </c>
      <c r="L53" s="23">
        <f t="shared" si="24"/>
        <v>0.73086053412462904</v>
      </c>
      <c r="M53" s="23">
        <f t="shared" si="24"/>
        <v>0.41670272609260062</v>
      </c>
      <c r="N53" s="23">
        <f t="shared" si="24"/>
        <v>0.17096466093600765</v>
      </c>
      <c r="O53" s="23">
        <f t="shared" si="24"/>
        <v>0.45749761222540591</v>
      </c>
      <c r="P53" s="2"/>
      <c r="Q53" s="2" t="s">
        <v>138</v>
      </c>
      <c r="R53" s="2"/>
      <c r="S53" s="2"/>
      <c r="T53" s="2"/>
      <c r="U53" s="19">
        <f>U51+U52</f>
        <v>0</v>
      </c>
    </row>
    <row r="54" spans="2:21" x14ac:dyDescent="0.25">
      <c r="B54" s="2"/>
      <c r="C54" s="2" t="s">
        <v>48</v>
      </c>
      <c r="D54" s="34">
        <f>IFERROR(L11/K11-1,"NA")</f>
        <v>0.40961281708945263</v>
      </c>
      <c r="E54" s="266" t="str">
        <f>IF(OR(K38&lt;=0,L38&lt;=0),"NM",L38/K38-1)</f>
        <v>NM</v>
      </c>
      <c r="F54" s="30" t="str">
        <f>IF(OR(K51&lt;=0,L51&lt;=0),"NM",L51/K51-1)</f>
        <v>NM</v>
      </c>
      <c r="G54" s="266" t="str">
        <f>IF(OR(K46&lt;=0,L46&lt;=0),"NM",L46/K46-1)</f>
        <v>NM</v>
      </c>
      <c r="H54" s="2"/>
      <c r="I54" s="2" t="s">
        <v>78</v>
      </c>
      <c r="J54" s="25">
        <f>J37</f>
        <v>8.5</v>
      </c>
      <c r="K54" s="25">
        <f t="shared" ref="K54:O54" si="25">K37</f>
        <v>7.7</v>
      </c>
      <c r="L54" s="25">
        <f t="shared" si="25"/>
        <v>15.6</v>
      </c>
      <c r="M54" s="25">
        <f t="shared" si="25"/>
        <v>1.5</v>
      </c>
      <c r="N54" s="25">
        <f t="shared" si="25"/>
        <v>6.1</v>
      </c>
      <c r="O54" s="25">
        <f t="shared" si="25"/>
        <v>20.2</v>
      </c>
      <c r="P54" s="2"/>
      <c r="Q54" s="2" t="s">
        <v>139</v>
      </c>
      <c r="R54" s="2"/>
      <c r="S54" s="2"/>
      <c r="T54" s="2"/>
      <c r="U54" s="19">
        <f>U46</f>
        <v>0</v>
      </c>
    </row>
    <row r="55" spans="2:21" ht="14.4" thickBot="1" x14ac:dyDescent="0.3">
      <c r="B55" s="2"/>
      <c r="C55" s="2" t="s">
        <v>49</v>
      </c>
      <c r="D55" s="34">
        <f>IFERROR((L11/J11)^(1/2)-1,"NA")</f>
        <v>0.44606609459273305</v>
      </c>
      <c r="E55" s="266" t="str">
        <f>IF(OR(J38&lt;=0,L38&lt;=0),"NM",(L38/J38)^(1/2)-1)</f>
        <v>NM</v>
      </c>
      <c r="F55" s="30">
        <f>IF(OR(J51&lt;=0,L51&lt;=0),"NM",(L51/J51)^(1/2)-1)</f>
        <v>-0.51419143121593192</v>
      </c>
      <c r="G55" s="266" t="str">
        <f>IF(OR(J46&lt;=0,L46&lt;=0),"NM",(L46/J46)^(1/2)-1)</f>
        <v>NM</v>
      </c>
      <c r="H55" s="2"/>
      <c r="I55" s="6" t="s">
        <v>89</v>
      </c>
      <c r="J55" s="27">
        <f>IFERROR(J54/J11,0)</f>
        <v>1.6835016835016835E-2</v>
      </c>
      <c r="K55" s="27">
        <f t="shared" ref="K55:O55" si="26">IFERROR(K54/K11,0)</f>
        <v>1.0280373831775701E-2</v>
      </c>
      <c r="L55" s="27">
        <f t="shared" si="26"/>
        <v>1.4775525667740102E-2</v>
      </c>
      <c r="M55" s="27">
        <f t="shared" si="26"/>
        <v>6.5731814198071873E-3</v>
      </c>
      <c r="N55" s="27">
        <f t="shared" si="26"/>
        <v>1.8296340731853631E-2</v>
      </c>
      <c r="O55" s="27">
        <f t="shared" si="26"/>
        <v>1.7398794142980192E-2</v>
      </c>
      <c r="P55" s="2"/>
      <c r="Q55" s="14" t="s">
        <v>18</v>
      </c>
      <c r="R55" s="2"/>
      <c r="S55" s="2"/>
      <c r="T55" s="2"/>
      <c r="U55" s="39">
        <f>U50+U53+U54</f>
        <v>500</v>
      </c>
    </row>
    <row r="56" spans="2:21" ht="14.4" thickTop="1" x14ac:dyDescent="0.25">
      <c r="B56" s="2"/>
      <c r="C56" s="38" t="s">
        <v>50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2:21" x14ac:dyDescent="0.25">
      <c r="B57" s="2"/>
      <c r="C57" s="2" t="s">
        <v>48</v>
      </c>
      <c r="D57" s="34">
        <f>E34/L11-1</f>
        <v>0.34968744080318248</v>
      </c>
      <c r="E57" s="30" t="s">
        <v>9</v>
      </c>
      <c r="F57" s="30" t="s">
        <v>9</v>
      </c>
      <c r="G57" s="30" t="s">
        <v>9</v>
      </c>
      <c r="H57" s="2"/>
      <c r="I57" s="7" t="s">
        <v>90</v>
      </c>
      <c r="J57" s="7"/>
      <c r="K57" s="7"/>
      <c r="L57" s="7"/>
      <c r="M57" s="7"/>
      <c r="N57" s="7"/>
      <c r="O57" s="7"/>
      <c r="P57" s="40"/>
      <c r="Q57" s="40"/>
      <c r="R57" s="40"/>
      <c r="S57" s="40"/>
      <c r="T57" s="40"/>
      <c r="U57" s="40"/>
    </row>
    <row r="58" spans="2:21" x14ac:dyDescent="0.25">
      <c r="B58" s="2"/>
      <c r="C58" s="2" t="s">
        <v>49</v>
      </c>
      <c r="D58" s="30" t="s">
        <v>9</v>
      </c>
      <c r="E58" s="30" t="s">
        <v>9</v>
      </c>
      <c r="F58" s="30" t="s">
        <v>9</v>
      </c>
      <c r="G58" s="30" t="s">
        <v>9</v>
      </c>
      <c r="H58" s="2"/>
      <c r="I58" s="2" t="s">
        <v>91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2:21" x14ac:dyDescent="0.25">
      <c r="B59" s="2"/>
      <c r="C59" s="2" t="s">
        <v>51</v>
      </c>
      <c r="D59" s="30" t="s">
        <v>9</v>
      </c>
      <c r="E59" s="30" t="s">
        <v>9</v>
      </c>
      <c r="F59" s="30" t="s">
        <v>9</v>
      </c>
      <c r="G59" s="30" t="s">
        <v>9</v>
      </c>
      <c r="H59" s="2"/>
      <c r="I59" s="2" t="s">
        <v>92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2:2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2:2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2:2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2:2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2:2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2:2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2:2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2:2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2:2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2:2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2:2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2:2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2:2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2:2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2:2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2:2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2:2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2:2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2:2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2:2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2:2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2:2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2:2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2:2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2:2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2:2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2:2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2:2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2:2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2:2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2:2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2:2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2:2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2:2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2:2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2:2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2:2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2:2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2:2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2:2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2:2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2:2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2:2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2:2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2:2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2:2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2:2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2:2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2:2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2:2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2:2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2:2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2:2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2:2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2:2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2:2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2:2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2:2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2:2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2:2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2:2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2:2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2:2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2:2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2:2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2:2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2:2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2:2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2:2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2:2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2:2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2:2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2:2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2:2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2:2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2:2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2:2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2:2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2:2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2:2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2:2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2:2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2:2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2:2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2:2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2:2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2:2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2:2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2:2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2:2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2:2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2:2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2:2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2:2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2:2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2:2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2:2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2:2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2:2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2:2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2:2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2:2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2:2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2:2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2:2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2:2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2:2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2:2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2:2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2:2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2:2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2:2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2:2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2:2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2:2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2:2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2:2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2:2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2:2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2:2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2:2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2:2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2:2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2:2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2:2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2:2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2:2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2:2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2:2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2:2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2:2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2:2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2:2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2:2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2:2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2:2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2:2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2:2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2:2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2:2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2:2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2:2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2:2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</sheetData>
  <printOptions horizontalCentered="1"/>
  <pageMargins left="0.5" right="0.5" top="0.6" bottom="0.6" header="0.3" footer="0.3"/>
  <pageSetup scale="47" fitToHeight="0" orientation="landscape" r:id="rId1"/>
  <headerFooter>
    <oddHeader>&amp;L&amp;"Times New Roman"&amp;9 Adobe Inc. (ADBE) — Trading Comparables&amp;R&amp;"Times New Roman"&amp;9&amp;A</oddHeader>
    <oddFooter>&amp;L&amp;"Times New Roman"&amp;8 Confidential&amp;C&amp;"Times New Roman"&amp;8 Page &amp;P of &amp;N&amp;R&amp;"Times New Roman"&amp;8 &amp;D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475BA-4093-4D3D-AE0C-4B1315E00166}">
  <sheetPr>
    <pageSetUpPr fitToPage="1"/>
  </sheetPr>
  <dimension ref="B3:U202"/>
  <sheetViews>
    <sheetView showGridLines="0" zoomScale="99" workbookViewId="0">
      <selection activeCell="Q31" sqref="Q31"/>
    </sheetView>
  </sheetViews>
  <sheetFormatPr defaultRowHeight="13.8" x14ac:dyDescent="0.25"/>
  <cols>
    <col min="1" max="1" width="8.88671875" style="1"/>
    <col min="2" max="2" width="2.5546875" style="1" customWidth="1"/>
    <col min="3" max="3" width="37" style="1" customWidth="1"/>
    <col min="4" max="7" width="11.109375" style="1" customWidth="1"/>
    <col min="8" max="8" width="2.21875" style="1" customWidth="1"/>
    <col min="9" max="9" width="38" style="1" customWidth="1"/>
    <col min="10" max="15" width="10.33203125" style="1" customWidth="1"/>
    <col min="16" max="16" width="2.21875" style="1" customWidth="1"/>
    <col min="17" max="17" width="38" style="1" customWidth="1"/>
    <col min="18" max="21" width="11.44140625" style="1" customWidth="1"/>
    <col min="22" max="16384" width="8.88671875" style="1"/>
  </cols>
  <sheetData>
    <row r="3" spans="2:21" ht="22.05" customHeight="1" x14ac:dyDescent="0.3">
      <c r="B3" s="2"/>
      <c r="C3" s="3" t="s">
        <v>173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1" ht="14.4" x14ac:dyDescent="0.3">
      <c r="B4" s="2"/>
      <c r="C4" s="5" t="s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2:21" x14ac:dyDescent="0.25">
      <c r="B5" s="2"/>
      <c r="C5" s="6" t="s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21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21" x14ac:dyDescent="0.25">
      <c r="B7" s="2"/>
      <c r="C7" s="7" t="s">
        <v>2</v>
      </c>
      <c r="D7" s="7"/>
      <c r="E7" s="7"/>
      <c r="F7" s="7"/>
      <c r="G7" s="7"/>
      <c r="H7" s="2"/>
      <c r="I7" s="7" t="s">
        <v>52</v>
      </c>
      <c r="J7" s="7"/>
      <c r="K7" s="7"/>
      <c r="L7" s="7"/>
      <c r="M7" s="7"/>
      <c r="N7" s="7"/>
      <c r="O7" s="7"/>
      <c r="P7" s="2"/>
      <c r="Q7" s="7" t="s">
        <v>93</v>
      </c>
      <c r="R7" s="7"/>
      <c r="S7" s="7"/>
      <c r="T7" s="8" t="s">
        <v>153</v>
      </c>
      <c r="U7" s="50">
        <f>DATE(2026,4,30)</f>
        <v>46142</v>
      </c>
    </row>
    <row r="8" spans="2:21" x14ac:dyDescent="0.25">
      <c r="B8" s="2"/>
      <c r="C8" s="2" t="s">
        <v>3</v>
      </c>
      <c r="D8" s="2"/>
      <c r="E8" s="2"/>
      <c r="F8" s="2"/>
      <c r="G8" s="9" t="s">
        <v>160</v>
      </c>
      <c r="H8" s="2"/>
      <c r="I8" s="2"/>
      <c r="J8" s="10" t="s">
        <v>53</v>
      </c>
      <c r="K8" s="2"/>
      <c r="L8" s="2"/>
      <c r="M8" s="2"/>
      <c r="N8" s="2"/>
      <c r="O8" s="2"/>
      <c r="P8" s="2"/>
      <c r="Q8" s="2" t="s">
        <v>94</v>
      </c>
      <c r="R8" s="2"/>
      <c r="S8" s="2"/>
      <c r="T8" s="41">
        <v>9565</v>
      </c>
      <c r="U8" s="41">
        <v>11837</v>
      </c>
    </row>
    <row r="9" spans="2:21" x14ac:dyDescent="0.25">
      <c r="B9" s="2"/>
      <c r="C9" s="2" t="s">
        <v>4</v>
      </c>
      <c r="D9" s="2"/>
      <c r="E9" s="2"/>
      <c r="F9" s="2"/>
      <c r="G9" s="9" t="s">
        <v>161</v>
      </c>
      <c r="H9" s="2"/>
      <c r="I9" s="2"/>
      <c r="J9" s="11" t="s">
        <v>151</v>
      </c>
      <c r="K9" s="11" t="s">
        <v>152</v>
      </c>
      <c r="L9" s="11" t="s">
        <v>153</v>
      </c>
      <c r="M9" s="11" t="s">
        <v>54</v>
      </c>
      <c r="N9" s="11" t="s">
        <v>55</v>
      </c>
      <c r="O9" s="11" t="s">
        <v>26</v>
      </c>
      <c r="P9" s="2"/>
      <c r="Q9" s="2" t="s">
        <v>95</v>
      </c>
      <c r="R9" s="2"/>
      <c r="S9" s="2"/>
      <c r="T9" s="41">
        <v>14339</v>
      </c>
      <c r="U9" s="41">
        <v>5080</v>
      </c>
    </row>
    <row r="10" spans="2:21" x14ac:dyDescent="0.25">
      <c r="B10" s="2"/>
      <c r="C10" s="2" t="s">
        <v>5</v>
      </c>
      <c r="D10" s="2"/>
      <c r="E10" s="2"/>
      <c r="F10" s="2"/>
      <c r="G10" s="9" t="s">
        <v>162</v>
      </c>
      <c r="H10" s="2"/>
      <c r="I10" s="2"/>
      <c r="J10" s="12"/>
      <c r="K10" s="12"/>
      <c r="L10" s="12"/>
      <c r="M10" s="49">
        <f>DATE(2025,4,30)</f>
        <v>45777</v>
      </c>
      <c r="N10" s="49">
        <f>DATE(2026,4,30)</f>
        <v>46142</v>
      </c>
      <c r="O10" s="49">
        <f>DATE(2026,4,30)</f>
        <v>46142</v>
      </c>
      <c r="P10" s="2"/>
      <c r="Q10" s="2" t="s">
        <v>96</v>
      </c>
      <c r="R10" s="2"/>
      <c r="S10" s="2"/>
      <c r="T10" s="41">
        <v>0</v>
      </c>
      <c r="U10" s="41">
        <v>0</v>
      </c>
    </row>
    <row r="11" spans="2:21" x14ac:dyDescent="0.25">
      <c r="B11" s="2"/>
      <c r="C11" s="2" t="s">
        <v>7</v>
      </c>
      <c r="D11" s="2"/>
      <c r="E11" s="2"/>
      <c r="F11" s="2"/>
      <c r="G11" s="13" t="s">
        <v>159</v>
      </c>
      <c r="H11" s="2"/>
      <c r="I11" s="2" t="s">
        <v>43</v>
      </c>
      <c r="J11" s="41">
        <v>34857</v>
      </c>
      <c r="K11" s="41">
        <v>37895</v>
      </c>
      <c r="L11" s="41">
        <v>41525</v>
      </c>
      <c r="M11" s="41">
        <v>9829</v>
      </c>
      <c r="N11" s="41">
        <v>11133</v>
      </c>
      <c r="O11" s="41">
        <f>L11+N11-M11</f>
        <v>42829</v>
      </c>
      <c r="P11" s="2"/>
      <c r="Q11" s="2" t="s">
        <v>97</v>
      </c>
      <c r="R11" s="2"/>
      <c r="S11" s="2"/>
      <c r="T11" s="41">
        <v>4318</v>
      </c>
      <c r="U11" s="41">
        <v>4696</v>
      </c>
    </row>
    <row r="12" spans="2:21" x14ac:dyDescent="0.25">
      <c r="B12" s="2"/>
      <c r="C12" s="2" t="s">
        <v>8</v>
      </c>
      <c r="D12" s="2"/>
      <c r="E12" s="2"/>
      <c r="F12" s="2"/>
      <c r="G12" s="9" t="s">
        <v>9</v>
      </c>
      <c r="H12" s="2"/>
      <c r="I12" s="2" t="s">
        <v>56</v>
      </c>
      <c r="J12" s="41">
        <v>8541</v>
      </c>
      <c r="K12" s="41">
        <v>8643</v>
      </c>
      <c r="L12" s="41">
        <v>9270</v>
      </c>
      <c r="M12" s="41">
        <v>2265</v>
      </c>
      <c r="N12" s="41">
        <v>2570</v>
      </c>
      <c r="O12" s="41">
        <f>L12+N12-M12</f>
        <v>9575</v>
      </c>
      <c r="P12" s="2"/>
      <c r="Q12" s="14" t="s">
        <v>98</v>
      </c>
      <c r="R12" s="2"/>
      <c r="S12" s="2"/>
      <c r="T12" s="15">
        <f>SUM(T8:T11)</f>
        <v>28222</v>
      </c>
      <c r="U12" s="15">
        <f>SUM(U8:U11)</f>
        <v>21613</v>
      </c>
    </row>
    <row r="13" spans="2:21" x14ac:dyDescent="0.25">
      <c r="B13" s="2"/>
      <c r="C13" s="2" t="s">
        <v>10</v>
      </c>
      <c r="D13" s="2"/>
      <c r="E13" s="2"/>
      <c r="F13" s="2"/>
      <c r="G13" s="9" t="s">
        <v>9</v>
      </c>
      <c r="H13" s="2"/>
      <c r="I13" s="14" t="s">
        <v>57</v>
      </c>
      <c r="J13" s="15">
        <f>J11-J12</f>
        <v>26316</v>
      </c>
      <c r="K13" s="15">
        <f t="shared" ref="K13:O13" si="0">K11-K12</f>
        <v>29252</v>
      </c>
      <c r="L13" s="15">
        <f t="shared" si="0"/>
        <v>32255</v>
      </c>
      <c r="M13" s="15">
        <f t="shared" si="0"/>
        <v>7564</v>
      </c>
      <c r="N13" s="15">
        <f t="shared" si="0"/>
        <v>8563</v>
      </c>
      <c r="O13" s="15">
        <f t="shared" si="0"/>
        <v>33254</v>
      </c>
      <c r="P13" s="2"/>
      <c r="Q13" s="2" t="s">
        <v>99</v>
      </c>
      <c r="R13" s="2"/>
      <c r="S13" s="2"/>
      <c r="T13" s="41">
        <v>3120</v>
      </c>
      <c r="U13" s="41">
        <v>3150</v>
      </c>
    </row>
    <row r="14" spans="2:21" x14ac:dyDescent="0.25">
      <c r="B14" s="2"/>
      <c r="C14" s="2" t="s">
        <v>11</v>
      </c>
      <c r="D14" s="2"/>
      <c r="E14" s="2"/>
      <c r="F14" s="2"/>
      <c r="G14" s="16">
        <v>1.18</v>
      </c>
      <c r="H14" s="2"/>
      <c r="I14" s="2" t="s">
        <v>58</v>
      </c>
      <c r="J14" s="41">
        <v>21305</v>
      </c>
      <c r="K14" s="41">
        <v>22047</v>
      </c>
      <c r="L14" s="41">
        <v>23924</v>
      </c>
      <c r="M14" s="41">
        <v>5622</v>
      </c>
      <c r="N14" s="41">
        <v>6216</v>
      </c>
      <c r="O14" s="41">
        <f>L14+N14-M14</f>
        <v>24518</v>
      </c>
      <c r="P14" s="2"/>
      <c r="Q14" s="2" t="s">
        <v>100</v>
      </c>
      <c r="R14" s="2"/>
      <c r="S14" s="2"/>
      <c r="T14" s="41">
        <v>64756</v>
      </c>
      <c r="U14" s="41">
        <v>65941</v>
      </c>
    </row>
    <row r="15" spans="2:21" x14ac:dyDescent="0.25">
      <c r="B15" s="2"/>
      <c r="C15" s="2" t="s">
        <v>12</v>
      </c>
      <c r="D15" s="2"/>
      <c r="E15" s="2"/>
      <c r="F15" s="2"/>
      <c r="G15" s="17">
        <f>L23</f>
        <v>0.21670168067226891</v>
      </c>
      <c r="H15" s="2"/>
      <c r="I15" s="14" t="s">
        <v>59</v>
      </c>
      <c r="J15" s="15">
        <f>J13-J14</f>
        <v>5011</v>
      </c>
      <c r="K15" s="15">
        <f t="shared" ref="K15:O15" si="1">K13-K14</f>
        <v>7205</v>
      </c>
      <c r="L15" s="15">
        <f t="shared" si="1"/>
        <v>8331</v>
      </c>
      <c r="M15" s="15">
        <f t="shared" si="1"/>
        <v>1942</v>
      </c>
      <c r="N15" s="15">
        <f t="shared" si="1"/>
        <v>2347</v>
      </c>
      <c r="O15" s="15">
        <f t="shared" si="1"/>
        <v>8736</v>
      </c>
      <c r="P15" s="2"/>
      <c r="Q15" s="2" t="s">
        <v>101</v>
      </c>
      <c r="R15" s="2"/>
      <c r="S15" s="2"/>
      <c r="T15" s="41">
        <v>16207</v>
      </c>
      <c r="U15" s="41">
        <v>15976</v>
      </c>
    </row>
    <row r="16" spans="2:21" x14ac:dyDescent="0.25">
      <c r="B16" s="2"/>
      <c r="C16" s="2"/>
      <c r="D16" s="2"/>
      <c r="E16" s="2"/>
      <c r="F16" s="2"/>
      <c r="G16" s="2"/>
      <c r="H16" s="2"/>
      <c r="I16" s="2" t="s">
        <v>60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f>L16+N16-M16</f>
        <v>0</v>
      </c>
      <c r="P16" s="2"/>
      <c r="Q16" s="14" t="s">
        <v>102</v>
      </c>
      <c r="R16" s="2"/>
      <c r="S16" s="2"/>
      <c r="T16" s="15">
        <f>T12+T13+T14+T15</f>
        <v>112305</v>
      </c>
      <c r="U16" s="15">
        <f>U12+U13+U14+U15</f>
        <v>106680</v>
      </c>
    </row>
    <row r="17" spans="2:21" x14ac:dyDescent="0.25">
      <c r="B17" s="2"/>
      <c r="C17" s="7" t="s">
        <v>13</v>
      </c>
      <c r="D17" s="7"/>
      <c r="E17" s="7"/>
      <c r="F17" s="7"/>
      <c r="G17" s="7"/>
      <c r="H17" s="2"/>
      <c r="I17" s="2" t="s">
        <v>61</v>
      </c>
      <c r="J17" s="41">
        <v>61</v>
      </c>
      <c r="K17" s="41">
        <v>-233</v>
      </c>
      <c r="L17" s="41">
        <v>-1189</v>
      </c>
      <c r="M17" s="41">
        <v>-32</v>
      </c>
      <c r="N17" s="41">
        <v>-374</v>
      </c>
      <c r="O17" s="41">
        <f>L17+N17-M17</f>
        <v>-1531</v>
      </c>
      <c r="P17" s="2"/>
      <c r="Q17" s="2" t="s">
        <v>103</v>
      </c>
      <c r="R17" s="2"/>
      <c r="S17" s="2"/>
      <c r="T17" s="41">
        <v>8253</v>
      </c>
      <c r="U17" s="41">
        <v>6582</v>
      </c>
    </row>
    <row r="18" spans="2:21" x14ac:dyDescent="0.25">
      <c r="B18" s="2"/>
      <c r="C18" s="2" t="s">
        <v>14</v>
      </c>
      <c r="D18" s="2"/>
      <c r="E18" s="2"/>
      <c r="F18" s="2"/>
      <c r="G18" s="18">
        <v>166</v>
      </c>
      <c r="H18" s="2"/>
      <c r="I18" s="14" t="s">
        <v>62</v>
      </c>
      <c r="J18" s="15">
        <f>J15-J16-J17</f>
        <v>4950</v>
      </c>
      <c r="K18" s="15">
        <f t="shared" ref="K18:O18" si="2">K15-K16-K17</f>
        <v>7438</v>
      </c>
      <c r="L18" s="15">
        <f t="shared" si="2"/>
        <v>9520</v>
      </c>
      <c r="M18" s="15">
        <f t="shared" si="2"/>
        <v>1974</v>
      </c>
      <c r="N18" s="15">
        <f t="shared" si="2"/>
        <v>2721</v>
      </c>
      <c r="O18" s="15">
        <f t="shared" si="2"/>
        <v>10267</v>
      </c>
      <c r="P18" s="2"/>
      <c r="Q18" s="2" t="s">
        <v>104</v>
      </c>
      <c r="R18" s="2"/>
      <c r="S18" s="2"/>
      <c r="T18" s="41">
        <v>0</v>
      </c>
      <c r="U18" s="41">
        <v>0</v>
      </c>
    </row>
    <row r="19" spans="2:21" x14ac:dyDescent="0.25">
      <c r="B19" s="2"/>
      <c r="C19" s="2" t="s">
        <v>15</v>
      </c>
      <c r="D19" s="2"/>
      <c r="E19" s="2"/>
      <c r="F19" s="2"/>
      <c r="G19" s="18">
        <v>276.8</v>
      </c>
      <c r="H19" s="2"/>
      <c r="I19" s="2" t="s">
        <v>63</v>
      </c>
      <c r="J19" s="41">
        <v>814</v>
      </c>
      <c r="K19" s="41">
        <v>1241</v>
      </c>
      <c r="L19" s="41">
        <v>2063</v>
      </c>
      <c r="M19" s="41">
        <v>433</v>
      </c>
      <c r="N19" s="41">
        <v>614</v>
      </c>
      <c r="O19" s="41">
        <f>L19+N19-M19</f>
        <v>2244</v>
      </c>
      <c r="P19" s="2"/>
      <c r="Q19" s="2" t="s">
        <v>105</v>
      </c>
      <c r="R19" s="2"/>
      <c r="S19" s="2"/>
      <c r="T19" s="41">
        <v>28865</v>
      </c>
      <c r="U19" s="41">
        <v>20920</v>
      </c>
    </row>
    <row r="20" spans="2:21" x14ac:dyDescent="0.25">
      <c r="B20" s="2"/>
      <c r="C20" s="2" t="s">
        <v>16</v>
      </c>
      <c r="D20" s="2"/>
      <c r="E20" s="2"/>
      <c r="F20" s="2"/>
      <c r="G20" s="18">
        <v>146.32</v>
      </c>
      <c r="H20" s="2"/>
      <c r="I20" s="2" t="s">
        <v>64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2"/>
      <c r="Q20" s="14" t="s">
        <v>106</v>
      </c>
      <c r="R20" s="2"/>
      <c r="S20" s="2"/>
      <c r="T20" s="15">
        <f>SUM(T17:T19)</f>
        <v>37118</v>
      </c>
      <c r="U20" s="15">
        <f>SUM(U17:U19)</f>
        <v>27502</v>
      </c>
    </row>
    <row r="21" spans="2:21" x14ac:dyDescent="0.25">
      <c r="B21" s="2"/>
      <c r="C21" s="2" t="s">
        <v>17</v>
      </c>
      <c r="D21" s="2"/>
      <c r="E21" s="2"/>
      <c r="F21" s="2"/>
      <c r="G21" s="18">
        <v>0.44</v>
      </c>
      <c r="H21" s="2"/>
      <c r="I21" s="2" t="s">
        <v>65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2"/>
      <c r="Q21" s="2" t="s">
        <v>107</v>
      </c>
      <c r="R21" s="2"/>
      <c r="S21" s="2"/>
      <c r="T21" s="41">
        <v>10439</v>
      </c>
      <c r="U21" s="41">
        <v>39280</v>
      </c>
    </row>
    <row r="22" spans="2:21" x14ac:dyDescent="0.25">
      <c r="B22" s="2"/>
      <c r="C22" s="2" t="s">
        <v>18</v>
      </c>
      <c r="D22" s="2"/>
      <c r="E22" s="2"/>
      <c r="F22" s="2"/>
      <c r="G22" s="19">
        <f>U55</f>
        <v>890</v>
      </c>
      <c r="H22" s="2"/>
      <c r="I22" s="14" t="s">
        <v>66</v>
      </c>
      <c r="J22" s="15">
        <f>J18-J19-J20-J21</f>
        <v>4136</v>
      </c>
      <c r="K22" s="15">
        <f t="shared" ref="K22:O22" si="3">K18-K19-K20-K21</f>
        <v>6197</v>
      </c>
      <c r="L22" s="15">
        <f t="shared" si="3"/>
        <v>7457</v>
      </c>
      <c r="M22" s="15">
        <f t="shared" si="3"/>
        <v>1541</v>
      </c>
      <c r="N22" s="15">
        <f t="shared" si="3"/>
        <v>2107</v>
      </c>
      <c r="O22" s="15">
        <f t="shared" si="3"/>
        <v>8023</v>
      </c>
      <c r="P22" s="2"/>
      <c r="Q22" s="2" t="s">
        <v>108</v>
      </c>
      <c r="R22" s="2"/>
      <c r="S22" s="2"/>
      <c r="T22" s="41">
        <v>5606</v>
      </c>
      <c r="U22" s="41">
        <v>5663</v>
      </c>
    </row>
    <row r="23" spans="2:21" x14ac:dyDescent="0.25">
      <c r="B23" s="2"/>
      <c r="C23" s="14" t="s">
        <v>19</v>
      </c>
      <c r="D23" s="2"/>
      <c r="E23" s="2"/>
      <c r="F23" s="2"/>
      <c r="G23" s="20">
        <f>G18*G22</f>
        <v>147740</v>
      </c>
      <c r="H23" s="2"/>
      <c r="I23" s="2" t="s">
        <v>67</v>
      </c>
      <c r="J23" s="21">
        <f>IFERROR(J19/J18,0)</f>
        <v>0.16444444444444445</v>
      </c>
      <c r="K23" s="21">
        <f t="shared" ref="K23:O23" si="4">IFERROR(K19/K18,0)</f>
        <v>0.16684592632428072</v>
      </c>
      <c r="L23" s="21">
        <f t="shared" si="4"/>
        <v>0.21670168067226891</v>
      </c>
      <c r="M23" s="21">
        <f t="shared" si="4"/>
        <v>0.21935157041540021</v>
      </c>
      <c r="N23" s="21">
        <f t="shared" si="4"/>
        <v>0.22565233370084528</v>
      </c>
      <c r="O23" s="21">
        <f t="shared" si="4"/>
        <v>0.2185643323268725</v>
      </c>
      <c r="P23" s="2"/>
      <c r="Q23" s="14" t="s">
        <v>109</v>
      </c>
      <c r="R23" s="2"/>
      <c r="S23" s="2"/>
      <c r="T23" s="15">
        <f>T20+T21+T22</f>
        <v>53163</v>
      </c>
      <c r="U23" s="15">
        <f>U20+U21+U22</f>
        <v>72445</v>
      </c>
    </row>
    <row r="24" spans="2:21" x14ac:dyDescent="0.25">
      <c r="B24" s="2"/>
      <c r="C24" s="2" t="s">
        <v>20</v>
      </c>
      <c r="D24" s="2"/>
      <c r="E24" s="2"/>
      <c r="F24" s="2"/>
      <c r="G24" s="22">
        <f>U21</f>
        <v>39280</v>
      </c>
      <c r="H24" s="2"/>
      <c r="I24" s="2" t="s">
        <v>68</v>
      </c>
      <c r="J24" s="42">
        <v>984</v>
      </c>
      <c r="K24" s="42">
        <v>974</v>
      </c>
      <c r="L24" s="42">
        <v>956</v>
      </c>
      <c r="M24" s="42">
        <v>970</v>
      </c>
      <c r="N24" s="42">
        <v>871</v>
      </c>
      <c r="O24" s="42">
        <f>N24</f>
        <v>871</v>
      </c>
      <c r="P24" s="2"/>
      <c r="Q24" s="2" t="s">
        <v>64</v>
      </c>
      <c r="R24" s="2"/>
      <c r="S24" s="2"/>
      <c r="T24" s="41">
        <v>0</v>
      </c>
      <c r="U24" s="41">
        <v>0</v>
      </c>
    </row>
    <row r="25" spans="2:21" x14ac:dyDescent="0.25">
      <c r="B25" s="2"/>
      <c r="C25" s="2" t="s">
        <v>21</v>
      </c>
      <c r="D25" s="2"/>
      <c r="E25" s="2"/>
      <c r="F25" s="2"/>
      <c r="G25" s="22">
        <f>U25</f>
        <v>0</v>
      </c>
      <c r="H25" s="2"/>
      <c r="I25" s="2" t="s">
        <v>69</v>
      </c>
      <c r="J25" s="23">
        <f>IFERROR(J22/J24,0)</f>
        <v>4.2032520325203251</v>
      </c>
      <c r="K25" s="23">
        <f t="shared" ref="K25:O25" si="5">IFERROR(K22/K24,0)</f>
        <v>6.362422997946612</v>
      </c>
      <c r="L25" s="23">
        <f t="shared" si="5"/>
        <v>7.8002092050209209</v>
      </c>
      <c r="M25" s="23">
        <f t="shared" si="5"/>
        <v>1.5886597938144329</v>
      </c>
      <c r="N25" s="23">
        <f t="shared" si="5"/>
        <v>2.4190585533869116</v>
      </c>
      <c r="O25" s="23">
        <f t="shared" si="5"/>
        <v>9.2112514351320325</v>
      </c>
      <c r="P25" s="2"/>
      <c r="Q25" s="2" t="s">
        <v>110</v>
      </c>
      <c r="R25" s="2"/>
      <c r="S25" s="2"/>
      <c r="T25" s="41">
        <v>0</v>
      </c>
      <c r="U25" s="41">
        <v>0</v>
      </c>
    </row>
    <row r="26" spans="2:21" x14ac:dyDescent="0.25">
      <c r="B26" s="2"/>
      <c r="C26" s="2" t="s">
        <v>22</v>
      </c>
      <c r="D26" s="2"/>
      <c r="E26" s="2"/>
      <c r="F26" s="2"/>
      <c r="G26" s="22">
        <f>U24</f>
        <v>0</v>
      </c>
      <c r="H26" s="2"/>
      <c r="I26" s="2"/>
      <c r="J26" s="2"/>
      <c r="K26" s="2"/>
      <c r="L26" s="2"/>
      <c r="M26" s="2"/>
      <c r="N26" s="2"/>
      <c r="O26" s="2"/>
      <c r="P26" s="2"/>
      <c r="Q26" s="2" t="s">
        <v>111</v>
      </c>
      <c r="R26" s="2"/>
      <c r="S26" s="2"/>
      <c r="T26" s="41">
        <v>59142</v>
      </c>
      <c r="U26" s="41">
        <v>34235</v>
      </c>
    </row>
    <row r="27" spans="2:21" x14ac:dyDescent="0.25">
      <c r="B27" s="2"/>
      <c r="C27" s="2" t="s">
        <v>23</v>
      </c>
      <c r="D27" s="2"/>
      <c r="E27" s="2"/>
      <c r="F27" s="2"/>
      <c r="G27" s="22">
        <f>-U8</f>
        <v>-11837</v>
      </c>
      <c r="H27" s="2"/>
      <c r="I27" s="7" t="s">
        <v>70</v>
      </c>
      <c r="J27" s="7"/>
      <c r="K27" s="7"/>
      <c r="L27" s="7"/>
      <c r="M27" s="7"/>
      <c r="N27" s="7"/>
      <c r="O27" s="7"/>
      <c r="P27" s="2"/>
      <c r="Q27" s="14" t="s">
        <v>112</v>
      </c>
      <c r="R27" s="2"/>
      <c r="S27" s="2"/>
      <c r="T27" s="15">
        <f>T23+T24+T25+T26</f>
        <v>112305</v>
      </c>
      <c r="U27" s="15">
        <f>U23+U24+U25+U26</f>
        <v>106680</v>
      </c>
    </row>
    <row r="28" spans="2:21" ht="14.4" thickBot="1" x14ac:dyDescent="0.3">
      <c r="B28" s="2"/>
      <c r="C28" s="14" t="s">
        <v>24</v>
      </c>
      <c r="D28" s="2"/>
      <c r="E28" s="2"/>
      <c r="F28" s="2"/>
      <c r="G28" s="24">
        <f>SUM(G23:G27)</f>
        <v>175183</v>
      </c>
      <c r="H28" s="2"/>
      <c r="I28" s="2" t="s">
        <v>71</v>
      </c>
      <c r="J28" s="25">
        <f>J13</f>
        <v>26316</v>
      </c>
      <c r="K28" s="25">
        <f t="shared" ref="K28:O28" si="6">K13</f>
        <v>29252</v>
      </c>
      <c r="L28" s="25">
        <f t="shared" si="6"/>
        <v>32255</v>
      </c>
      <c r="M28" s="25">
        <f t="shared" si="6"/>
        <v>7564</v>
      </c>
      <c r="N28" s="25">
        <f t="shared" si="6"/>
        <v>8563</v>
      </c>
      <c r="O28" s="25">
        <f t="shared" si="6"/>
        <v>33254</v>
      </c>
      <c r="P28" s="2"/>
      <c r="Q28" s="6" t="s">
        <v>113</v>
      </c>
      <c r="R28" s="2"/>
      <c r="S28" s="2"/>
      <c r="T28" s="26">
        <f>T16-T27</f>
        <v>0</v>
      </c>
      <c r="U28" s="26">
        <f>U16-U27</f>
        <v>0</v>
      </c>
    </row>
    <row r="29" spans="2:21" ht="14.4" thickTop="1" x14ac:dyDescent="0.25">
      <c r="B29" s="2"/>
      <c r="C29" s="2"/>
      <c r="D29" s="2"/>
      <c r="E29" s="2"/>
      <c r="F29" s="2"/>
      <c r="G29" s="2"/>
      <c r="H29" s="2"/>
      <c r="I29" s="2" t="s">
        <v>72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f>L29+N29-M29</f>
        <v>0</v>
      </c>
      <c r="P29" s="2"/>
      <c r="Q29" s="6"/>
      <c r="R29" s="2"/>
      <c r="S29" s="2"/>
      <c r="T29" s="26"/>
      <c r="U29" s="26"/>
    </row>
    <row r="30" spans="2:21" x14ac:dyDescent="0.25">
      <c r="B30" s="2"/>
      <c r="C30" s="7" t="s">
        <v>25</v>
      </c>
      <c r="D30" s="7"/>
      <c r="E30" s="7"/>
      <c r="F30" s="7"/>
      <c r="G30" s="7"/>
      <c r="H30" s="2"/>
      <c r="I30" s="14" t="s">
        <v>73</v>
      </c>
      <c r="J30" s="15">
        <f>J28+J29</f>
        <v>26316</v>
      </c>
      <c r="K30" s="15">
        <f t="shared" ref="K30:O30" si="7">K28+K29</f>
        <v>29252</v>
      </c>
      <c r="L30" s="15">
        <f t="shared" si="7"/>
        <v>32255</v>
      </c>
      <c r="M30" s="15">
        <f t="shared" si="7"/>
        <v>7564</v>
      </c>
      <c r="N30" s="15">
        <f t="shared" si="7"/>
        <v>8563</v>
      </c>
      <c r="O30" s="15">
        <f t="shared" si="7"/>
        <v>33254</v>
      </c>
      <c r="P30" s="2"/>
      <c r="Q30" s="2"/>
      <c r="R30" s="2"/>
      <c r="S30" s="2"/>
      <c r="T30" s="2"/>
      <c r="U30" s="2"/>
    </row>
    <row r="31" spans="2:21" x14ac:dyDescent="0.25">
      <c r="B31" s="2"/>
      <c r="C31" s="2"/>
      <c r="D31" s="11" t="s">
        <v>26</v>
      </c>
      <c r="E31" s="11" t="s">
        <v>27</v>
      </c>
      <c r="F31" s="11" t="s">
        <v>28</v>
      </c>
      <c r="G31" s="11" t="s">
        <v>29</v>
      </c>
      <c r="H31" s="2"/>
      <c r="I31" s="6" t="s">
        <v>74</v>
      </c>
      <c r="J31" s="27">
        <f>IFERROR(J30/J11,0)</f>
        <v>0.75497030725535763</v>
      </c>
      <c r="K31" s="27">
        <f t="shared" ref="K31:O31" si="8">IFERROR(K30/K11,0)</f>
        <v>0.77192241720543608</v>
      </c>
      <c r="L31" s="27">
        <f t="shared" si="8"/>
        <v>0.77676098735701382</v>
      </c>
      <c r="M31" s="27">
        <f t="shared" si="8"/>
        <v>0.76955946688371146</v>
      </c>
      <c r="N31" s="27">
        <f t="shared" si="8"/>
        <v>0.76915476511272796</v>
      </c>
      <c r="O31" s="27">
        <f t="shared" si="8"/>
        <v>0.77643652665250185</v>
      </c>
      <c r="P31" s="2"/>
      <c r="Q31" s="7" t="s">
        <v>114</v>
      </c>
      <c r="R31" s="28" t="s">
        <v>115</v>
      </c>
      <c r="S31" s="28" t="s">
        <v>116</v>
      </c>
      <c r="T31" s="28" t="s">
        <v>117</v>
      </c>
      <c r="U31" s="28" t="s">
        <v>118</v>
      </c>
    </row>
    <row r="32" spans="2:21" x14ac:dyDescent="0.25">
      <c r="B32" s="2"/>
      <c r="C32" s="2"/>
      <c r="D32" s="49">
        <f>DATE(2026,4,30)</f>
        <v>46142</v>
      </c>
      <c r="E32" s="29" t="s">
        <v>154</v>
      </c>
      <c r="F32" s="29" t="s">
        <v>155</v>
      </c>
      <c r="G32" s="29" t="s">
        <v>156</v>
      </c>
      <c r="H32" s="2"/>
      <c r="I32" s="2" t="s">
        <v>75</v>
      </c>
      <c r="J32" s="25">
        <f>J15</f>
        <v>5011</v>
      </c>
      <c r="K32" s="25">
        <f t="shared" ref="K32:O32" si="9">K15</f>
        <v>7205</v>
      </c>
      <c r="L32" s="25">
        <f t="shared" si="9"/>
        <v>8331</v>
      </c>
      <c r="M32" s="25">
        <f t="shared" si="9"/>
        <v>1942</v>
      </c>
      <c r="N32" s="25">
        <f t="shared" si="9"/>
        <v>2347</v>
      </c>
      <c r="O32" s="25">
        <f t="shared" si="9"/>
        <v>8736</v>
      </c>
      <c r="P32" s="2"/>
      <c r="Q32" s="2" t="s">
        <v>119</v>
      </c>
      <c r="R32" s="42">
        <v>0</v>
      </c>
      <c r="S32" s="18">
        <v>0</v>
      </c>
      <c r="T32" s="19">
        <f>IF(AND(S32&gt;0,S32&lt;$G$18),R32,0)</f>
        <v>0</v>
      </c>
      <c r="U32" s="25">
        <f>T32*S32</f>
        <v>0</v>
      </c>
    </row>
    <row r="33" spans="2:21" x14ac:dyDescent="0.25">
      <c r="B33" s="2"/>
      <c r="C33" s="14" t="s">
        <v>30</v>
      </c>
      <c r="D33" s="47">
        <f>G28/O11</f>
        <v>4.0902892899670782</v>
      </c>
      <c r="E33" s="47">
        <f>G28/E34</f>
        <v>3.8083260869565216</v>
      </c>
      <c r="F33" s="30" t="s">
        <v>9</v>
      </c>
      <c r="G33" s="30" t="s">
        <v>9</v>
      </c>
      <c r="H33" s="2"/>
      <c r="I33" s="2" t="s">
        <v>72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f>L33+N33-M33</f>
        <v>0</v>
      </c>
      <c r="P33" s="2"/>
      <c r="Q33" s="2" t="s">
        <v>120</v>
      </c>
      <c r="R33" s="42">
        <v>0</v>
      </c>
      <c r="S33" s="18">
        <v>0</v>
      </c>
      <c r="T33" s="19">
        <f t="shared" ref="T33:T36" si="10">IF(AND(S33&gt;0,S33&lt;$G$18),R33,0)</f>
        <v>0</v>
      </c>
      <c r="U33" s="25">
        <f t="shared" ref="U33:U36" si="11">T33*S33</f>
        <v>0</v>
      </c>
    </row>
    <row r="34" spans="2:21" x14ac:dyDescent="0.25">
      <c r="B34" s="2"/>
      <c r="C34" s="6" t="s">
        <v>31</v>
      </c>
      <c r="D34" s="48">
        <f>O11</f>
        <v>42829</v>
      </c>
      <c r="E34" s="48">
        <v>46000</v>
      </c>
      <c r="F34" s="2"/>
      <c r="G34" s="2"/>
      <c r="H34" s="2"/>
      <c r="I34" s="2" t="s">
        <v>76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f>L34+N34-M34</f>
        <v>0</v>
      </c>
      <c r="P34" s="2"/>
      <c r="Q34" s="2" t="s">
        <v>121</v>
      </c>
      <c r="R34" s="42">
        <v>0</v>
      </c>
      <c r="S34" s="18">
        <v>0</v>
      </c>
      <c r="T34" s="19">
        <f t="shared" si="10"/>
        <v>0</v>
      </c>
      <c r="U34" s="25">
        <f t="shared" si="11"/>
        <v>0</v>
      </c>
    </row>
    <row r="35" spans="2:21" x14ac:dyDescent="0.25">
      <c r="B35" s="2"/>
      <c r="C35" s="14" t="s">
        <v>32</v>
      </c>
      <c r="D35" s="47">
        <f>IF(O38&lt;=0,"NM",IF(G28/O38&gt;NM_Cap,"NM",G28/O38))</f>
        <v>14.004556719162203</v>
      </c>
      <c r="E35" s="30" t="s">
        <v>9</v>
      </c>
      <c r="F35" s="30" t="s">
        <v>9</v>
      </c>
      <c r="G35" s="30" t="s">
        <v>9</v>
      </c>
      <c r="H35" s="2"/>
      <c r="I35" s="14" t="s">
        <v>77</v>
      </c>
      <c r="J35" s="15">
        <f>J32+J33+J34</f>
        <v>5011</v>
      </c>
      <c r="K35" s="15">
        <f t="shared" ref="K35:O35" si="12">K32+K33+K34</f>
        <v>7205</v>
      </c>
      <c r="L35" s="15">
        <f t="shared" si="12"/>
        <v>8331</v>
      </c>
      <c r="M35" s="15">
        <f t="shared" si="12"/>
        <v>1942</v>
      </c>
      <c r="N35" s="15">
        <f t="shared" si="12"/>
        <v>2347</v>
      </c>
      <c r="O35" s="15">
        <f t="shared" si="12"/>
        <v>8736</v>
      </c>
      <c r="P35" s="2"/>
      <c r="Q35" s="2" t="s">
        <v>122</v>
      </c>
      <c r="R35" s="42">
        <v>0</v>
      </c>
      <c r="S35" s="18">
        <v>0</v>
      </c>
      <c r="T35" s="19">
        <f t="shared" si="10"/>
        <v>0</v>
      </c>
      <c r="U35" s="25">
        <f t="shared" si="11"/>
        <v>0</v>
      </c>
    </row>
    <row r="36" spans="2:21" x14ac:dyDescent="0.25">
      <c r="B36" s="2"/>
      <c r="C36" s="6" t="s">
        <v>31</v>
      </c>
      <c r="D36" s="48">
        <f>O38</f>
        <v>12509</v>
      </c>
      <c r="E36" s="2"/>
      <c r="F36" s="2"/>
      <c r="G36" s="2"/>
      <c r="H36" s="2"/>
      <c r="I36" s="6" t="s">
        <v>74</v>
      </c>
      <c r="J36" s="27">
        <f>IFERROR(J35/J11,0)</f>
        <v>0.14375878589666352</v>
      </c>
      <c r="K36" s="27">
        <f t="shared" ref="K36:O36" si="13">IFERROR(K35/K11,0)</f>
        <v>0.19013062409288825</v>
      </c>
      <c r="L36" s="27">
        <f t="shared" si="13"/>
        <v>0.20062612883804937</v>
      </c>
      <c r="M36" s="27">
        <f t="shared" si="13"/>
        <v>0.19757859395665886</v>
      </c>
      <c r="N36" s="27">
        <f t="shared" si="13"/>
        <v>0.21081469505075001</v>
      </c>
      <c r="O36" s="27">
        <f t="shared" si="13"/>
        <v>0.20397394288916387</v>
      </c>
      <c r="P36" s="2"/>
      <c r="Q36" s="2" t="s">
        <v>123</v>
      </c>
      <c r="R36" s="42">
        <v>0</v>
      </c>
      <c r="S36" s="18">
        <v>0</v>
      </c>
      <c r="T36" s="19">
        <f t="shared" si="10"/>
        <v>0</v>
      </c>
      <c r="U36" s="25">
        <f t="shared" si="11"/>
        <v>0</v>
      </c>
    </row>
    <row r="37" spans="2:21" x14ac:dyDescent="0.25">
      <c r="B37" s="2"/>
      <c r="C37" s="14" t="s">
        <v>33</v>
      </c>
      <c r="D37" s="47">
        <f>IF(O35&lt;=0,"NM",IF(G28/O35&gt;NM_Cap,"NM",G28/O35))</f>
        <v>20.052999084249084</v>
      </c>
      <c r="E37" s="30" t="s">
        <v>9</v>
      </c>
      <c r="F37" s="30" t="s">
        <v>9</v>
      </c>
      <c r="G37" s="30" t="s">
        <v>9</v>
      </c>
      <c r="H37" s="2"/>
      <c r="I37" s="2" t="s">
        <v>78</v>
      </c>
      <c r="J37" s="41">
        <v>3959</v>
      </c>
      <c r="K37" s="41">
        <v>3477</v>
      </c>
      <c r="L37" s="41">
        <v>3631</v>
      </c>
      <c r="M37" s="41">
        <v>843</v>
      </c>
      <c r="N37" s="41">
        <v>985</v>
      </c>
      <c r="O37" s="41">
        <f>L37+N37-M37</f>
        <v>3773</v>
      </c>
      <c r="P37" s="2"/>
      <c r="Q37" s="14" t="s">
        <v>124</v>
      </c>
      <c r="R37" s="31">
        <f>SUM(R32:R36)</f>
        <v>0</v>
      </c>
      <c r="S37" s="43"/>
      <c r="T37" s="31">
        <f>SUM(T32:T36)</f>
        <v>0</v>
      </c>
      <c r="U37" s="15">
        <f>SUM(U32:U36)</f>
        <v>0</v>
      </c>
    </row>
    <row r="38" spans="2:21" x14ac:dyDescent="0.25">
      <c r="B38" s="2"/>
      <c r="C38" s="6" t="s">
        <v>31</v>
      </c>
      <c r="D38" s="48">
        <f>O35</f>
        <v>8736</v>
      </c>
      <c r="E38" s="2"/>
      <c r="F38" s="2"/>
      <c r="G38" s="2"/>
      <c r="H38" s="2"/>
      <c r="I38" s="14" t="s">
        <v>79</v>
      </c>
      <c r="J38" s="15">
        <f>J35+J37</f>
        <v>8970</v>
      </c>
      <c r="K38" s="15">
        <f t="shared" ref="K38:O38" si="14">K35+K37</f>
        <v>10682</v>
      </c>
      <c r="L38" s="15">
        <f t="shared" si="14"/>
        <v>11962</v>
      </c>
      <c r="M38" s="15">
        <f t="shared" si="14"/>
        <v>2785</v>
      </c>
      <c r="N38" s="15">
        <f t="shared" si="14"/>
        <v>3332</v>
      </c>
      <c r="O38" s="15">
        <f t="shared" si="14"/>
        <v>12509</v>
      </c>
      <c r="P38" s="2"/>
      <c r="Q38" s="14"/>
      <c r="R38" s="32"/>
      <c r="S38" s="2"/>
      <c r="T38" s="32"/>
      <c r="U38" s="33"/>
    </row>
    <row r="39" spans="2:21" x14ac:dyDescent="0.25">
      <c r="B39" s="2"/>
      <c r="C39" s="14" t="s">
        <v>34</v>
      </c>
      <c r="D39" s="47">
        <f>IF(O46&lt;=0,"NM",IF(G18/O46&gt;NM_Cap,"NM",G18/O46))</f>
        <v>18.021438364701481</v>
      </c>
      <c r="E39" s="47">
        <f>IFERROR(IF(E40&lt;=0,"NM",IF(G18/E40&gt;NM_Cap,"NM",G18/E40)),"NA")</f>
        <v>11.756373937677054</v>
      </c>
      <c r="F39" s="30" t="s">
        <v>9</v>
      </c>
      <c r="G39" s="30" t="s">
        <v>9</v>
      </c>
      <c r="H39" s="2"/>
      <c r="I39" s="6" t="s">
        <v>74</v>
      </c>
      <c r="J39" s="27">
        <f>IFERROR(J38/J11,0)</f>
        <v>0.25733712023409933</v>
      </c>
      <c r="K39" s="27">
        <f t="shared" ref="K39:O39" si="15">IFERROR(K38/K11,0)</f>
        <v>0.28188415358226682</v>
      </c>
      <c r="L39" s="27">
        <f t="shared" si="15"/>
        <v>0.28806742925948225</v>
      </c>
      <c r="M39" s="27">
        <f t="shared" si="15"/>
        <v>0.28334520297080068</v>
      </c>
      <c r="N39" s="27">
        <f t="shared" si="15"/>
        <v>0.29929039791610529</v>
      </c>
      <c r="O39" s="27">
        <f t="shared" si="15"/>
        <v>0.29206845828760886</v>
      </c>
      <c r="P39" s="2"/>
      <c r="Q39" s="2"/>
      <c r="R39" s="2"/>
      <c r="S39" s="2"/>
      <c r="T39" s="2"/>
      <c r="U39" s="2"/>
    </row>
    <row r="40" spans="2:21" x14ac:dyDescent="0.25">
      <c r="B40" s="2"/>
      <c r="C40" s="6" t="s">
        <v>31</v>
      </c>
      <c r="D40" s="23">
        <f>O46</f>
        <v>9.2112514351320325</v>
      </c>
      <c r="E40" s="23">
        <v>14.12</v>
      </c>
      <c r="F40" s="2"/>
      <c r="G40" s="2"/>
      <c r="H40" s="2"/>
      <c r="I40" s="2" t="s">
        <v>80</v>
      </c>
      <c r="J40" s="25">
        <f>J22</f>
        <v>4136</v>
      </c>
      <c r="K40" s="25">
        <f t="shared" ref="K40:O40" si="16">K22</f>
        <v>6197</v>
      </c>
      <c r="L40" s="25">
        <f t="shared" si="16"/>
        <v>7457</v>
      </c>
      <c r="M40" s="25">
        <f t="shared" si="16"/>
        <v>1541</v>
      </c>
      <c r="N40" s="25">
        <f t="shared" si="16"/>
        <v>2107</v>
      </c>
      <c r="O40" s="25">
        <f t="shared" si="16"/>
        <v>8023</v>
      </c>
      <c r="P40" s="2"/>
      <c r="Q40" s="7" t="s">
        <v>125</v>
      </c>
      <c r="R40" s="28" t="s">
        <v>126</v>
      </c>
      <c r="S40" s="28" t="s">
        <v>127</v>
      </c>
      <c r="T40" s="28" t="s">
        <v>128</v>
      </c>
      <c r="U40" s="28" t="s">
        <v>129</v>
      </c>
    </row>
    <row r="41" spans="2:21" x14ac:dyDescent="0.25">
      <c r="B41" s="2"/>
      <c r="C41" s="14" t="s">
        <v>35</v>
      </c>
      <c r="D41" s="34">
        <f>O51/G23</f>
        <v>9.9235142818464878E-2</v>
      </c>
      <c r="E41" s="30" t="s">
        <v>9</v>
      </c>
      <c r="F41" s="30" t="s">
        <v>9</v>
      </c>
      <c r="G41" s="30" t="s">
        <v>9</v>
      </c>
      <c r="H41" s="2"/>
      <c r="I41" s="2" t="s">
        <v>76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f>L41+N41-M41</f>
        <v>0</v>
      </c>
      <c r="P41" s="2"/>
      <c r="Q41" s="2" t="s">
        <v>130</v>
      </c>
      <c r="R41" s="41">
        <v>0</v>
      </c>
      <c r="S41" s="18">
        <v>0</v>
      </c>
      <c r="T41" s="44">
        <f>IFERROR(1000/S41,0)</f>
        <v>0</v>
      </c>
      <c r="U41" s="19">
        <f>IFERROR(R41/S41,0)</f>
        <v>0</v>
      </c>
    </row>
    <row r="42" spans="2:21" x14ac:dyDescent="0.25">
      <c r="B42" s="2"/>
      <c r="C42" s="6" t="s">
        <v>31</v>
      </c>
      <c r="D42" s="48">
        <f>O51</f>
        <v>14661</v>
      </c>
      <c r="E42" s="2"/>
      <c r="F42" s="2"/>
      <c r="G42" s="2"/>
      <c r="H42" s="2"/>
      <c r="I42" s="2" t="s">
        <v>72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1">
        <f>L42+N42-M42</f>
        <v>0</v>
      </c>
      <c r="P42" s="2"/>
      <c r="Q42" s="2" t="s">
        <v>131</v>
      </c>
      <c r="R42" s="41">
        <v>0</v>
      </c>
      <c r="S42" s="18">
        <v>0</v>
      </c>
      <c r="T42" s="44">
        <f t="shared" ref="T42:T45" si="17">IFERROR(1000/S42,0)</f>
        <v>0</v>
      </c>
      <c r="U42" s="19">
        <f t="shared" ref="U42:U45" si="18">IFERROR(R42/S42,0)</f>
        <v>0</v>
      </c>
    </row>
    <row r="43" spans="2:21" x14ac:dyDescent="0.25">
      <c r="B43" s="2"/>
      <c r="C43" s="2"/>
      <c r="D43" s="2"/>
      <c r="E43" s="2"/>
      <c r="F43" s="2"/>
      <c r="G43" s="2"/>
      <c r="H43" s="2"/>
      <c r="I43" s="2" t="s">
        <v>81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f>L43+N43-M43</f>
        <v>0</v>
      </c>
      <c r="P43" s="2"/>
      <c r="Q43" s="2" t="s">
        <v>132</v>
      </c>
      <c r="R43" s="41">
        <v>0</v>
      </c>
      <c r="S43" s="18">
        <v>0</v>
      </c>
      <c r="T43" s="44">
        <f t="shared" si="17"/>
        <v>0</v>
      </c>
      <c r="U43" s="19">
        <f t="shared" si="18"/>
        <v>0</v>
      </c>
    </row>
    <row r="44" spans="2:21" x14ac:dyDescent="0.25">
      <c r="B44" s="2"/>
      <c r="C44" s="7" t="s">
        <v>36</v>
      </c>
      <c r="D44" s="7"/>
      <c r="E44" s="7"/>
      <c r="F44" s="7"/>
      <c r="G44" s="7"/>
      <c r="H44" s="2"/>
      <c r="I44" s="14" t="s">
        <v>82</v>
      </c>
      <c r="J44" s="15">
        <f>J40+J41+J42+J43</f>
        <v>4136</v>
      </c>
      <c r="K44" s="15">
        <f t="shared" ref="K44:O44" si="19">K40+K41+K42+K43</f>
        <v>6197</v>
      </c>
      <c r="L44" s="15">
        <f t="shared" si="19"/>
        <v>7457</v>
      </c>
      <c r="M44" s="15">
        <f t="shared" si="19"/>
        <v>1541</v>
      </c>
      <c r="N44" s="15">
        <f t="shared" si="19"/>
        <v>2107</v>
      </c>
      <c r="O44" s="15">
        <f t="shared" si="19"/>
        <v>8023</v>
      </c>
      <c r="P44" s="2"/>
      <c r="Q44" s="2" t="s">
        <v>133</v>
      </c>
      <c r="R44" s="41">
        <v>0</v>
      </c>
      <c r="S44" s="18">
        <v>0</v>
      </c>
      <c r="T44" s="44">
        <f t="shared" si="17"/>
        <v>0</v>
      </c>
      <c r="U44" s="19">
        <f t="shared" si="18"/>
        <v>0</v>
      </c>
    </row>
    <row r="45" spans="2:21" x14ac:dyDescent="0.25">
      <c r="B45" s="2"/>
      <c r="C45" s="2" t="s">
        <v>37</v>
      </c>
      <c r="D45" s="2"/>
      <c r="E45" s="2"/>
      <c r="F45" s="2"/>
      <c r="G45" s="34">
        <f>IF(U26&lt;=0,"NM",U21/(U21+U26))</f>
        <v>0.53431272529415763</v>
      </c>
      <c r="H45" s="2"/>
      <c r="I45" s="6" t="s">
        <v>74</v>
      </c>
      <c r="J45" s="27">
        <f>IFERROR(J44/J11,0)</f>
        <v>0.11865622400091803</v>
      </c>
      <c r="K45" s="27">
        <f t="shared" ref="K45:O45" si="20">IFERROR(K44/K11,0)</f>
        <v>0.16353080881382767</v>
      </c>
      <c r="L45" s="27">
        <f t="shared" si="20"/>
        <v>0.179578567128236</v>
      </c>
      <c r="M45" s="27">
        <f t="shared" si="20"/>
        <v>0.15678095431885239</v>
      </c>
      <c r="N45" s="27">
        <f t="shared" si="20"/>
        <v>0.1892571633881254</v>
      </c>
      <c r="O45" s="27">
        <f t="shared" si="20"/>
        <v>0.1873263442994233</v>
      </c>
      <c r="P45" s="2"/>
      <c r="Q45" s="2" t="s">
        <v>134</v>
      </c>
      <c r="R45" s="41">
        <v>0</v>
      </c>
      <c r="S45" s="18">
        <v>0</v>
      </c>
      <c r="T45" s="44">
        <f t="shared" si="17"/>
        <v>0</v>
      </c>
      <c r="U45" s="19">
        <f t="shared" si="18"/>
        <v>0</v>
      </c>
    </row>
    <row r="46" spans="2:21" x14ac:dyDescent="0.25">
      <c r="B46" s="2"/>
      <c r="C46" s="2" t="s">
        <v>38</v>
      </c>
      <c r="D46" s="2"/>
      <c r="E46" s="2"/>
      <c r="F46" s="2"/>
      <c r="G46" s="34">
        <f>IF(U21+U26&lt;=0,"NM",O35*(1-G15)/(U21+U26))</f>
        <v>9.3081603994382894E-2</v>
      </c>
      <c r="H46" s="2"/>
      <c r="I46" s="2" t="s">
        <v>83</v>
      </c>
      <c r="J46" s="23">
        <f>IFERROR(J44/J24,0)</f>
        <v>4.2032520325203251</v>
      </c>
      <c r="K46" s="23">
        <f t="shared" ref="K46:O46" si="21">IFERROR(K44/K24,0)</f>
        <v>6.362422997946612</v>
      </c>
      <c r="L46" s="23">
        <f t="shared" si="21"/>
        <v>7.8002092050209209</v>
      </c>
      <c r="M46" s="23">
        <f t="shared" si="21"/>
        <v>1.5886597938144329</v>
      </c>
      <c r="N46" s="23">
        <f t="shared" si="21"/>
        <v>2.4190585533869116</v>
      </c>
      <c r="O46" s="23">
        <f t="shared" si="21"/>
        <v>9.2112514351320325</v>
      </c>
      <c r="P46" s="2"/>
      <c r="Q46" s="14" t="s">
        <v>124</v>
      </c>
      <c r="R46" s="15">
        <f>SUM(R41:R45)</f>
        <v>0</v>
      </c>
      <c r="S46" s="43"/>
      <c r="T46" s="43"/>
      <c r="U46" s="31">
        <f>SUM(U41:U45)</f>
        <v>0</v>
      </c>
    </row>
    <row r="47" spans="2:21" x14ac:dyDescent="0.25">
      <c r="B47" s="2"/>
      <c r="C47" s="2" t="s">
        <v>39</v>
      </c>
      <c r="D47" s="2"/>
      <c r="E47" s="2"/>
      <c r="F47" s="2"/>
      <c r="G47" s="34">
        <f>IF(U26&lt;=0,"NM",O44/U26)</f>
        <v>0.234350810573974</v>
      </c>
      <c r="H47" s="2"/>
      <c r="I47" s="2"/>
      <c r="J47" s="2"/>
      <c r="K47" s="2"/>
      <c r="L47" s="2"/>
      <c r="M47" s="2"/>
      <c r="N47" s="2"/>
      <c r="O47" s="2"/>
      <c r="P47" s="2"/>
      <c r="Q47" s="14"/>
      <c r="R47" s="33"/>
      <c r="S47" s="2"/>
      <c r="T47" s="2"/>
      <c r="U47" s="32"/>
    </row>
    <row r="48" spans="2:21" x14ac:dyDescent="0.25">
      <c r="B48" s="2"/>
      <c r="C48" s="2" t="s">
        <v>40</v>
      </c>
      <c r="D48" s="2"/>
      <c r="E48" s="2"/>
      <c r="F48" s="2"/>
      <c r="G48" s="34">
        <f>IFERROR(O44/U16,"NM")</f>
        <v>7.5206224221972248E-2</v>
      </c>
      <c r="H48" s="2"/>
      <c r="I48" s="7" t="s">
        <v>84</v>
      </c>
      <c r="J48" s="7"/>
      <c r="K48" s="7"/>
      <c r="L48" s="7"/>
      <c r="M48" s="7"/>
      <c r="N48" s="7"/>
      <c r="O48" s="7"/>
      <c r="P48" s="2"/>
      <c r="Q48" s="2"/>
      <c r="R48" s="2"/>
      <c r="S48" s="2"/>
      <c r="T48" s="2"/>
      <c r="U48" s="2"/>
    </row>
    <row r="49" spans="2:21" x14ac:dyDescent="0.25">
      <c r="B49" s="2"/>
      <c r="C49" s="2" t="s">
        <v>41</v>
      </c>
      <c r="D49" s="2"/>
      <c r="E49" s="2"/>
      <c r="F49" s="2"/>
      <c r="G49" s="35">
        <f>G21*4</f>
        <v>1.76</v>
      </c>
      <c r="H49" s="2"/>
      <c r="I49" s="2" t="s">
        <v>85</v>
      </c>
      <c r="J49" s="41">
        <v>10234</v>
      </c>
      <c r="K49" s="41">
        <v>13092</v>
      </c>
      <c r="L49" s="41">
        <v>14996</v>
      </c>
      <c r="M49" s="41">
        <v>6476</v>
      </c>
      <c r="N49" s="41">
        <v>6701</v>
      </c>
      <c r="O49" s="41">
        <f>L49+N49-M49</f>
        <v>15221</v>
      </c>
      <c r="P49" s="2"/>
      <c r="Q49" s="7" t="s">
        <v>141</v>
      </c>
      <c r="R49" s="7"/>
      <c r="S49" s="7"/>
      <c r="T49" s="7"/>
      <c r="U49" s="7"/>
    </row>
    <row r="50" spans="2:21" x14ac:dyDescent="0.25">
      <c r="B50" s="2"/>
      <c r="C50" s="2"/>
      <c r="D50" s="2"/>
      <c r="E50" s="2"/>
      <c r="F50" s="2"/>
      <c r="G50" s="2"/>
      <c r="H50" s="2"/>
      <c r="I50" s="2" t="s">
        <v>86</v>
      </c>
      <c r="J50" s="41">
        <v>736</v>
      </c>
      <c r="K50" s="41">
        <v>658</v>
      </c>
      <c r="L50" s="41">
        <v>594</v>
      </c>
      <c r="M50" s="41">
        <v>179</v>
      </c>
      <c r="N50" s="41">
        <v>145</v>
      </c>
      <c r="O50" s="41">
        <f>L50+N50-M50</f>
        <v>560</v>
      </c>
      <c r="P50" s="2"/>
      <c r="Q50" s="2" t="s">
        <v>135</v>
      </c>
      <c r="R50" s="2"/>
      <c r="S50" s="2"/>
      <c r="T50" s="2"/>
      <c r="U50" s="42">
        <v>890</v>
      </c>
    </row>
    <row r="51" spans="2:21" x14ac:dyDescent="0.25">
      <c r="B51" s="2"/>
      <c r="C51" s="7" t="s">
        <v>42</v>
      </c>
      <c r="D51" s="7"/>
      <c r="E51" s="7"/>
      <c r="F51" s="7"/>
      <c r="G51" s="7"/>
      <c r="H51" s="2"/>
      <c r="I51" s="14" t="s">
        <v>87</v>
      </c>
      <c r="J51" s="15">
        <f>J49-J50</f>
        <v>9498</v>
      </c>
      <c r="K51" s="15">
        <f t="shared" ref="K51:O51" si="22">K49-K50</f>
        <v>12434</v>
      </c>
      <c r="L51" s="15">
        <f t="shared" si="22"/>
        <v>14402</v>
      </c>
      <c r="M51" s="15">
        <f t="shared" si="22"/>
        <v>6297</v>
      </c>
      <c r="N51" s="15">
        <f t="shared" si="22"/>
        <v>6556</v>
      </c>
      <c r="O51" s="15">
        <f t="shared" si="22"/>
        <v>14661</v>
      </c>
      <c r="P51" s="2"/>
      <c r="Q51" s="2" t="s">
        <v>136</v>
      </c>
      <c r="R51" s="2"/>
      <c r="S51" s="2"/>
      <c r="T51" s="2"/>
      <c r="U51" s="19">
        <f>T37</f>
        <v>0</v>
      </c>
    </row>
    <row r="52" spans="2:21" x14ac:dyDescent="0.25">
      <c r="B52" s="2"/>
      <c r="C52" s="2"/>
      <c r="D52" s="36" t="s">
        <v>43</v>
      </c>
      <c r="E52" s="36" t="s">
        <v>44</v>
      </c>
      <c r="F52" s="36" t="s">
        <v>45</v>
      </c>
      <c r="G52" s="36" t="s">
        <v>46</v>
      </c>
      <c r="H52" s="2"/>
      <c r="I52" s="6" t="s">
        <v>74</v>
      </c>
      <c r="J52" s="27">
        <f>IFERROR(J51/J11,0)</f>
        <v>0.27248472329804629</v>
      </c>
      <c r="K52" s="27">
        <f t="shared" ref="K52:O52" si="23">IFERROR(K51/K11,0)</f>
        <v>0.32811716585301492</v>
      </c>
      <c r="L52" s="27">
        <f t="shared" si="23"/>
        <v>0.34682721252257676</v>
      </c>
      <c r="M52" s="27">
        <f t="shared" si="23"/>
        <v>0.6406552039881982</v>
      </c>
      <c r="N52" s="27">
        <f t="shared" si="23"/>
        <v>0.58887990658402944</v>
      </c>
      <c r="O52" s="27">
        <f t="shared" si="23"/>
        <v>0.34231478670993953</v>
      </c>
      <c r="P52" s="2"/>
      <c r="Q52" s="2" t="s">
        <v>137</v>
      </c>
      <c r="R52" s="2"/>
      <c r="S52" s="2"/>
      <c r="T52" s="2"/>
      <c r="U52" s="37">
        <f>-IFERROR(U37/G18,0)</f>
        <v>0</v>
      </c>
    </row>
    <row r="53" spans="2:21" x14ac:dyDescent="0.25">
      <c r="B53" s="2"/>
      <c r="C53" s="38" t="s">
        <v>47</v>
      </c>
      <c r="D53" s="2"/>
      <c r="E53" s="2"/>
      <c r="F53" s="2"/>
      <c r="G53" s="2"/>
      <c r="H53" s="2"/>
      <c r="I53" s="2" t="s">
        <v>88</v>
      </c>
      <c r="J53" s="23">
        <f>IFERROR(J51/J24,0)</f>
        <v>9.6524390243902438</v>
      </c>
      <c r="K53" s="23">
        <f t="shared" ref="K53:O53" si="24">IFERROR(K51/K24,0)</f>
        <v>12.765913757700206</v>
      </c>
      <c r="L53" s="23">
        <f t="shared" si="24"/>
        <v>15.064853556485355</v>
      </c>
      <c r="M53" s="23">
        <f t="shared" si="24"/>
        <v>6.4917525773195877</v>
      </c>
      <c r="N53" s="23">
        <f t="shared" si="24"/>
        <v>7.5269804822043627</v>
      </c>
      <c r="O53" s="23">
        <f t="shared" si="24"/>
        <v>16.832376578645235</v>
      </c>
      <c r="P53" s="2"/>
      <c r="Q53" s="2" t="s">
        <v>138</v>
      </c>
      <c r="R53" s="2"/>
      <c r="S53" s="2"/>
      <c r="T53" s="2"/>
      <c r="U53" s="19">
        <f>U51+U52</f>
        <v>0</v>
      </c>
    </row>
    <row r="54" spans="2:21" x14ac:dyDescent="0.25">
      <c r="B54" s="2"/>
      <c r="C54" s="2" t="s">
        <v>48</v>
      </c>
      <c r="D54" s="34">
        <f>IFERROR(L11/K11-1,"NA")</f>
        <v>9.5791001451378754E-2</v>
      </c>
      <c r="E54" s="34">
        <f>IF(OR(K38&lt;=0,L38&lt;=0),"NM",L38/K38-1)</f>
        <v>0.11982774761280668</v>
      </c>
      <c r="F54" s="34">
        <f>IF(OR(K51&lt;=0,L51&lt;=0),"NM",L51/K51-1)</f>
        <v>0.15827569567315436</v>
      </c>
      <c r="G54" s="34">
        <f>IF(OR(K46&lt;=0,L46&lt;=0),"NM",L46/K46-1)</f>
        <v>0.22598092071815024</v>
      </c>
      <c r="H54" s="2"/>
      <c r="I54" s="2" t="s">
        <v>78</v>
      </c>
      <c r="J54" s="25">
        <f>J37</f>
        <v>3959</v>
      </c>
      <c r="K54" s="25">
        <f t="shared" ref="K54:O54" si="25">K37</f>
        <v>3477</v>
      </c>
      <c r="L54" s="25">
        <f t="shared" si="25"/>
        <v>3631</v>
      </c>
      <c r="M54" s="25">
        <f t="shared" si="25"/>
        <v>843</v>
      </c>
      <c r="N54" s="25">
        <f t="shared" si="25"/>
        <v>985</v>
      </c>
      <c r="O54" s="25">
        <f t="shared" si="25"/>
        <v>3773</v>
      </c>
      <c r="P54" s="2"/>
      <c r="Q54" s="2" t="s">
        <v>139</v>
      </c>
      <c r="R54" s="2"/>
      <c r="S54" s="2"/>
      <c r="T54" s="2"/>
      <c r="U54" s="19">
        <f>U46</f>
        <v>0</v>
      </c>
    </row>
    <row r="55" spans="2:21" ht="14.4" thickBot="1" x14ac:dyDescent="0.3">
      <c r="B55" s="2"/>
      <c r="C55" s="2" t="s">
        <v>49</v>
      </c>
      <c r="D55" s="34">
        <f>IFERROR((L11/J11)^(1/2)-1,"NA")</f>
        <v>9.1465009043653955E-2</v>
      </c>
      <c r="E55" s="34">
        <f>IF(OR(J38&lt;=0,L38&lt;=0),"NM",(L38/J38)^(1/2)-1)</f>
        <v>0.15479708121110614</v>
      </c>
      <c r="F55" s="34">
        <f>IF(OR(J51&lt;=0,L51&lt;=0),"NM",(L51/J51)^(1/2)-1)</f>
        <v>0.23138914446247294</v>
      </c>
      <c r="G55" s="34">
        <f>IF(OR(J46&lt;=0,L46&lt;=0),"NM",(L46/J46)^(1/2)-1)</f>
        <v>0.36226127020939747</v>
      </c>
      <c r="H55" s="2"/>
      <c r="I55" s="6" t="s">
        <v>89</v>
      </c>
      <c r="J55" s="27">
        <f>IFERROR(J54/J11,0)</f>
        <v>0.1135783343374358</v>
      </c>
      <c r="K55" s="27">
        <f t="shared" ref="K55:O55" si="26">IFERROR(K54/K11,0)</f>
        <v>9.1753529489378552E-2</v>
      </c>
      <c r="L55" s="27">
        <f t="shared" si="26"/>
        <v>8.7441300421432874E-2</v>
      </c>
      <c r="M55" s="27">
        <f t="shared" si="26"/>
        <v>8.576660901414182E-2</v>
      </c>
      <c r="N55" s="27">
        <f t="shared" si="26"/>
        <v>8.8475702865355249E-2</v>
      </c>
      <c r="O55" s="27">
        <f t="shared" si="26"/>
        <v>8.8094515398444984E-2</v>
      </c>
      <c r="P55" s="2"/>
      <c r="Q55" s="14" t="s">
        <v>18</v>
      </c>
      <c r="R55" s="2"/>
      <c r="S55" s="2"/>
      <c r="T55" s="2"/>
      <c r="U55" s="39">
        <f>U50+U53+U54</f>
        <v>890</v>
      </c>
    </row>
    <row r="56" spans="2:21" ht="14.4" thickTop="1" x14ac:dyDescent="0.25">
      <c r="B56" s="2"/>
      <c r="C56" s="38" t="s">
        <v>50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2:21" x14ac:dyDescent="0.25">
      <c r="B57" s="2"/>
      <c r="C57" s="2" t="s">
        <v>48</v>
      </c>
      <c r="D57" s="34">
        <f>E34/L11-1</f>
        <v>0.1077664057796508</v>
      </c>
      <c r="E57" s="30" t="s">
        <v>9</v>
      </c>
      <c r="F57" s="30" t="s">
        <v>9</v>
      </c>
      <c r="G57" s="30" t="s">
        <v>9</v>
      </c>
      <c r="H57" s="2"/>
      <c r="I57" s="7" t="s">
        <v>90</v>
      </c>
      <c r="J57" s="7"/>
      <c r="K57" s="7"/>
      <c r="L57" s="7"/>
      <c r="M57" s="7"/>
      <c r="N57" s="7"/>
      <c r="O57" s="7"/>
      <c r="P57" s="40"/>
      <c r="Q57" s="40"/>
      <c r="R57" s="40"/>
      <c r="S57" s="40"/>
      <c r="T57" s="40"/>
      <c r="U57" s="40"/>
    </row>
    <row r="58" spans="2:21" x14ac:dyDescent="0.25">
      <c r="B58" s="2"/>
      <c r="C58" s="2" t="s">
        <v>49</v>
      </c>
      <c r="D58" s="30" t="s">
        <v>9</v>
      </c>
      <c r="E58" s="30" t="s">
        <v>9</v>
      </c>
      <c r="F58" s="30" t="s">
        <v>9</v>
      </c>
      <c r="G58" s="30" t="s">
        <v>9</v>
      </c>
      <c r="H58" s="2"/>
      <c r="I58" s="2" t="s">
        <v>91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2:21" x14ac:dyDescent="0.25">
      <c r="B59" s="2"/>
      <c r="C59" s="2" t="s">
        <v>51</v>
      </c>
      <c r="D59" s="30" t="s">
        <v>9</v>
      </c>
      <c r="E59" s="30" t="s">
        <v>9</v>
      </c>
      <c r="F59" s="30" t="s">
        <v>9</v>
      </c>
      <c r="G59" s="30" t="s">
        <v>9</v>
      </c>
      <c r="H59" s="2"/>
      <c r="I59" s="2" t="s">
        <v>92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2:2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2:2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2:2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2:2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2:2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2:2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2:2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2:2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2:2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2:2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2:2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2:2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2:2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2:2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2:2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2:2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2:2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2:2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2:2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2:2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2:2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2:2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2:2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2:2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2:2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2:2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2:2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2:2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2:2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2:2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2:2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2:2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2:2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2:2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2:2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2:2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2:2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2:2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2:2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2:2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2:2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2:2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2:2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2:2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2:2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2:2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2:2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2:2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2:2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2:2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2:2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2:2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2:2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2:2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2:2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2:2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2:2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2:2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2:2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2:2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2:2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2:2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2:2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2:2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2:2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2:2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2:2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2:2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2:2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2:2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2:2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2:2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2:2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2:2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2:2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2:2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2:2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2:2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2:2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2:2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2:2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2:2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2:2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2:2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2:2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2:2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2:2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2:2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2:2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2:2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2:2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2:2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2:2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2:2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2:2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2:2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2:2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2:2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2:2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2:2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2:2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2:2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2:2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2:2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2:2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2:2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2:2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2:2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2:2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2:2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2:2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2:2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2:2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2:2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2:2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2:2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2:2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2:2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2:2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2:2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2:2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2:2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2:2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2:2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2:2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2:2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2:2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2:2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2:2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2:2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2:2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2:2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2:2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2:2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2:2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2:2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2:2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2:2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2:2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2:2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2:2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2:2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2:2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</sheetData>
  <printOptions horizontalCentered="1"/>
  <pageMargins left="0.5" right="0.5" top="0.6" bottom="0.6" header="0.3" footer="0.3"/>
  <pageSetup scale="47" fitToHeight="0" orientation="landscape" r:id="rId1"/>
  <headerFooter>
    <oddHeader>&amp;L&amp;"Times New Roman"&amp;9 Adobe Inc. (ADBE) — Trading Comparables&amp;R&amp;"Times New Roman"&amp;9&amp;A</oddHeader>
    <oddFooter>&amp;L&amp;"Times New Roman"&amp;8 Confidential&amp;C&amp;"Times New Roman"&amp;8 Page &amp;P of &amp;N&amp;R&amp;"Times New Roman"&amp;8 &amp;D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88B18-9C85-467B-82FC-F6D7734F3B54}">
  <sheetPr>
    <pageSetUpPr fitToPage="1"/>
  </sheetPr>
  <dimension ref="B3:U202"/>
  <sheetViews>
    <sheetView showGridLines="0" zoomScale="99" workbookViewId="0">
      <selection activeCell="Q59" sqref="Q59"/>
    </sheetView>
  </sheetViews>
  <sheetFormatPr defaultRowHeight="13.8" x14ac:dyDescent="0.25"/>
  <cols>
    <col min="1" max="1" width="8.88671875" style="1"/>
    <col min="2" max="2" width="2.5546875" style="1" customWidth="1"/>
    <col min="3" max="3" width="37" style="1" customWidth="1"/>
    <col min="4" max="7" width="11.109375" style="1" customWidth="1"/>
    <col min="8" max="8" width="2.21875" style="1" customWidth="1"/>
    <col min="9" max="9" width="38" style="1" customWidth="1"/>
    <col min="10" max="15" width="10.33203125" style="1" customWidth="1"/>
    <col min="16" max="16" width="2.21875" style="1" customWidth="1"/>
    <col min="17" max="17" width="38" style="1" customWidth="1"/>
    <col min="18" max="21" width="11.44140625" style="1" customWidth="1"/>
    <col min="22" max="16384" width="8.88671875" style="1"/>
  </cols>
  <sheetData>
    <row r="3" spans="2:21" ht="22.05" customHeight="1" x14ac:dyDescent="0.3">
      <c r="B3" s="2"/>
      <c r="C3" s="3" t="s">
        <v>174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1" ht="14.4" x14ac:dyDescent="0.3">
      <c r="B4" s="2"/>
      <c r="C4" s="5" t="s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2:21" x14ac:dyDescent="0.25">
      <c r="B5" s="2"/>
      <c r="C5" s="6" t="s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21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21" x14ac:dyDescent="0.25">
      <c r="B7" s="2"/>
      <c r="C7" s="7" t="s">
        <v>2</v>
      </c>
      <c r="D7" s="7"/>
      <c r="E7" s="7"/>
      <c r="F7" s="7"/>
      <c r="G7" s="7"/>
      <c r="H7" s="2"/>
      <c r="I7" s="7" t="s">
        <v>52</v>
      </c>
      <c r="J7" s="7"/>
      <c r="K7" s="7"/>
      <c r="L7" s="7"/>
      <c r="M7" s="7"/>
      <c r="N7" s="7"/>
      <c r="O7" s="7"/>
      <c r="P7" s="2"/>
      <c r="Q7" s="7" t="s">
        <v>93</v>
      </c>
      <c r="R7" s="7"/>
      <c r="S7" s="7"/>
      <c r="T7" s="8" t="s">
        <v>147</v>
      </c>
      <c r="U7" s="50">
        <f>DATE(2026,3,31)</f>
        <v>46112</v>
      </c>
    </row>
    <row r="8" spans="2:21" x14ac:dyDescent="0.25">
      <c r="B8" s="2"/>
      <c r="C8" s="2" t="s">
        <v>3</v>
      </c>
      <c r="D8" s="2"/>
      <c r="E8" s="2"/>
      <c r="F8" s="2"/>
      <c r="G8" s="9" t="s">
        <v>163</v>
      </c>
      <c r="H8" s="2"/>
      <c r="I8" s="2"/>
      <c r="J8" s="10" t="s">
        <v>53</v>
      </c>
      <c r="K8" s="2"/>
      <c r="L8" s="2"/>
      <c r="M8" s="2"/>
      <c r="N8" s="2"/>
      <c r="O8" s="2"/>
      <c r="P8" s="2"/>
      <c r="Q8" s="2" t="s">
        <v>94</v>
      </c>
      <c r="R8" s="2"/>
      <c r="S8" s="2"/>
      <c r="T8" s="41">
        <v>1703.8</v>
      </c>
      <c r="U8" s="41">
        <v>1691.1</v>
      </c>
    </row>
    <row r="9" spans="2:21" x14ac:dyDescent="0.25">
      <c r="B9" s="2"/>
      <c r="C9" s="2" t="s">
        <v>4</v>
      </c>
      <c r="D9" s="2"/>
      <c r="E9" s="2"/>
      <c r="F9" s="2"/>
      <c r="G9" s="9" t="s">
        <v>164</v>
      </c>
      <c r="H9" s="2"/>
      <c r="I9" s="2"/>
      <c r="J9" s="11" t="s">
        <v>145</v>
      </c>
      <c r="K9" s="11" t="s">
        <v>146</v>
      </c>
      <c r="L9" s="11" t="s">
        <v>147</v>
      </c>
      <c r="M9" s="11" t="s">
        <v>54</v>
      </c>
      <c r="N9" s="11" t="s">
        <v>55</v>
      </c>
      <c r="O9" s="11" t="s">
        <v>26</v>
      </c>
      <c r="P9" s="2"/>
      <c r="Q9" s="2" t="s">
        <v>95</v>
      </c>
      <c r="R9" s="2"/>
      <c r="S9" s="2"/>
      <c r="T9" s="41">
        <v>645.29999999999995</v>
      </c>
      <c r="U9" s="41">
        <v>594.1</v>
      </c>
    </row>
    <row r="10" spans="2:21" x14ac:dyDescent="0.25">
      <c r="B10" s="2"/>
      <c r="C10" s="2" t="s">
        <v>5</v>
      </c>
      <c r="D10" s="2"/>
      <c r="E10" s="2"/>
      <c r="F10" s="2"/>
      <c r="G10" s="9" t="s">
        <v>162</v>
      </c>
      <c r="H10" s="2"/>
      <c r="I10" s="2"/>
      <c r="J10" s="12"/>
      <c r="K10" s="12"/>
      <c r="L10" s="12"/>
      <c r="M10" s="49">
        <f>DATE(2025,3,31)</f>
        <v>45747</v>
      </c>
      <c r="N10" s="49">
        <f>DATE(2026,3,31)</f>
        <v>46112</v>
      </c>
      <c r="O10" s="49">
        <f>DATE(2026,3,31)</f>
        <v>46112</v>
      </c>
      <c r="P10" s="2"/>
      <c r="Q10" s="2" t="s">
        <v>96</v>
      </c>
      <c r="R10" s="2"/>
      <c r="S10" s="2"/>
      <c r="T10" s="41">
        <v>0</v>
      </c>
      <c r="U10" s="41">
        <v>0</v>
      </c>
    </row>
    <row r="11" spans="2:21" x14ac:dyDescent="0.25">
      <c r="B11" s="2"/>
      <c r="C11" s="2" t="s">
        <v>7</v>
      </c>
      <c r="D11" s="2"/>
      <c r="E11" s="2"/>
      <c r="F11" s="2"/>
      <c r="G11" s="13" t="s">
        <v>140</v>
      </c>
      <c r="H11" s="2"/>
      <c r="I11" s="2" t="s">
        <v>43</v>
      </c>
      <c r="J11" s="41">
        <v>2123.5</v>
      </c>
      <c r="K11" s="41">
        <v>2569.5</v>
      </c>
      <c r="L11" s="41">
        <v>3063.9</v>
      </c>
      <c r="M11" s="41">
        <v>714.1</v>
      </c>
      <c r="N11" s="41">
        <v>881</v>
      </c>
      <c r="O11" s="41">
        <f>L11+N11-M11</f>
        <v>3230.8</v>
      </c>
      <c r="P11" s="2"/>
      <c r="Q11" s="2" t="s">
        <v>97</v>
      </c>
      <c r="R11" s="2"/>
      <c r="S11" s="2"/>
      <c r="T11" s="41">
        <v>100.6</v>
      </c>
      <c r="U11" s="41">
        <v>156.5</v>
      </c>
    </row>
    <row r="12" spans="2:21" x14ac:dyDescent="0.25">
      <c r="B12" s="2"/>
      <c r="C12" s="2" t="s">
        <v>8</v>
      </c>
      <c r="D12" s="2"/>
      <c r="E12" s="2"/>
      <c r="F12" s="2"/>
      <c r="G12" s="9" t="s">
        <v>9</v>
      </c>
      <c r="H12" s="2"/>
      <c r="I12" s="2" t="s">
        <v>56</v>
      </c>
      <c r="J12" s="41">
        <v>291.60000000000002</v>
      </c>
      <c r="K12" s="41">
        <v>335.3</v>
      </c>
      <c r="L12" s="41">
        <v>441.1</v>
      </c>
      <c r="M12" s="41">
        <v>115.1</v>
      </c>
      <c r="N12" s="41">
        <v>145.69999999999999</v>
      </c>
      <c r="O12" s="41">
        <f>L12+N12-M12</f>
        <v>471.69999999999993</v>
      </c>
      <c r="P12" s="2"/>
      <c r="Q12" s="14" t="s">
        <v>98</v>
      </c>
      <c r="R12" s="2"/>
      <c r="S12" s="2"/>
      <c r="T12" s="15">
        <f>SUM(T8:T11)</f>
        <v>2449.6999999999998</v>
      </c>
      <c r="U12" s="15">
        <f>SUM(U8:U11)</f>
        <v>2441.6999999999998</v>
      </c>
    </row>
    <row r="13" spans="2:21" x14ac:dyDescent="0.25">
      <c r="B13" s="2"/>
      <c r="C13" s="2" t="s">
        <v>10</v>
      </c>
      <c r="D13" s="2"/>
      <c r="E13" s="2"/>
      <c r="F13" s="2"/>
      <c r="G13" s="9" t="s">
        <v>9</v>
      </c>
      <c r="H13" s="2"/>
      <c r="I13" s="14" t="s">
        <v>57</v>
      </c>
      <c r="J13" s="15">
        <f>J11-J12</f>
        <v>1831.9</v>
      </c>
      <c r="K13" s="15">
        <f t="shared" ref="K13:O13" si="0">K11-K12</f>
        <v>2234.1999999999998</v>
      </c>
      <c r="L13" s="15">
        <f t="shared" si="0"/>
        <v>2622.8</v>
      </c>
      <c r="M13" s="15">
        <f t="shared" si="0"/>
        <v>599</v>
      </c>
      <c r="N13" s="15">
        <f t="shared" si="0"/>
        <v>735.3</v>
      </c>
      <c r="O13" s="15">
        <f t="shared" si="0"/>
        <v>2759.1000000000004</v>
      </c>
      <c r="P13" s="2"/>
      <c r="Q13" s="2" t="s">
        <v>99</v>
      </c>
      <c r="R13" s="2"/>
      <c r="S13" s="2"/>
      <c r="T13" s="41">
        <v>141.9</v>
      </c>
      <c r="U13" s="41">
        <v>149.9</v>
      </c>
    </row>
    <row r="14" spans="2:21" x14ac:dyDescent="0.25">
      <c r="B14" s="2"/>
      <c r="C14" s="2" t="s">
        <v>11</v>
      </c>
      <c r="D14" s="2"/>
      <c r="E14" s="2"/>
      <c r="F14" s="2"/>
      <c r="G14" s="16">
        <v>1.23</v>
      </c>
      <c r="H14" s="2"/>
      <c r="I14" s="2" t="s">
        <v>58</v>
      </c>
      <c r="J14" s="41">
        <v>2032.8</v>
      </c>
      <c r="K14" s="41">
        <v>2301.9</v>
      </c>
      <c r="L14" s="41">
        <v>2615.4</v>
      </c>
      <c r="M14" s="41">
        <v>626.5</v>
      </c>
      <c r="N14" s="41">
        <v>707.4</v>
      </c>
      <c r="O14" s="41">
        <f>L14+N14-M14</f>
        <v>2696.3</v>
      </c>
      <c r="P14" s="2"/>
      <c r="Q14" s="2" t="s">
        <v>100</v>
      </c>
      <c r="R14" s="2"/>
      <c r="S14" s="2"/>
      <c r="T14" s="41">
        <v>326.7</v>
      </c>
      <c r="U14" s="41">
        <v>332.8</v>
      </c>
    </row>
    <row r="15" spans="2:21" x14ac:dyDescent="0.25">
      <c r="B15" s="2"/>
      <c r="C15" s="2" t="s">
        <v>12</v>
      </c>
      <c r="D15" s="2"/>
      <c r="E15" s="2"/>
      <c r="F15" s="2"/>
      <c r="G15" s="17">
        <f>L23</f>
        <v>0.33956834532374058</v>
      </c>
      <c r="H15" s="2"/>
      <c r="I15" s="14" t="s">
        <v>59</v>
      </c>
      <c r="J15" s="15">
        <f>J13-J14</f>
        <v>-200.89999999999986</v>
      </c>
      <c r="K15" s="15">
        <f t="shared" ref="K15:O15" si="1">K13-K14</f>
        <v>-67.700000000000273</v>
      </c>
      <c r="L15" s="15">
        <f t="shared" si="1"/>
        <v>7.4000000000000909</v>
      </c>
      <c r="M15" s="15">
        <f t="shared" si="1"/>
        <v>-27.5</v>
      </c>
      <c r="N15" s="15">
        <f t="shared" si="1"/>
        <v>27.899999999999977</v>
      </c>
      <c r="O15" s="15">
        <f t="shared" si="1"/>
        <v>62.800000000000182</v>
      </c>
      <c r="P15" s="2"/>
      <c r="Q15" s="2" t="s">
        <v>101</v>
      </c>
      <c r="R15" s="2"/>
      <c r="S15" s="2"/>
      <c r="T15" s="41">
        <v>935.8</v>
      </c>
      <c r="U15" s="41">
        <v>904.8</v>
      </c>
    </row>
    <row r="16" spans="2:21" x14ac:dyDescent="0.25">
      <c r="B16" s="2"/>
      <c r="C16" s="2"/>
      <c r="D16" s="2"/>
      <c r="E16" s="2"/>
      <c r="F16" s="2"/>
      <c r="G16" s="2"/>
      <c r="H16" s="2"/>
      <c r="I16" s="2" t="s">
        <v>60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f>L16+N16-M16</f>
        <v>0</v>
      </c>
      <c r="P16" s="2"/>
      <c r="Q16" s="14" t="s">
        <v>102</v>
      </c>
      <c r="R16" s="2"/>
      <c r="S16" s="2"/>
      <c r="T16" s="15">
        <f>T12+T13+T14+T15</f>
        <v>3854.0999999999995</v>
      </c>
      <c r="U16" s="15">
        <f>U12+U13+U14+U15</f>
        <v>3829.2</v>
      </c>
    </row>
    <row r="17" spans="2:21" x14ac:dyDescent="0.25">
      <c r="B17" s="2"/>
      <c r="C17" s="7" t="s">
        <v>13</v>
      </c>
      <c r="D17" s="7"/>
      <c r="E17" s="7"/>
      <c r="F17" s="7"/>
      <c r="G17" s="7"/>
      <c r="H17" s="2"/>
      <c r="I17" s="2" t="s">
        <v>61</v>
      </c>
      <c r="J17" s="41">
        <v>-50.4</v>
      </c>
      <c r="K17" s="41">
        <v>-96.3</v>
      </c>
      <c r="L17" s="41">
        <v>-62.1</v>
      </c>
      <c r="M17" s="41">
        <v>-17.600000000000001</v>
      </c>
      <c r="N17" s="41">
        <v>-11.4</v>
      </c>
      <c r="O17" s="41">
        <f>L17+N17-M17</f>
        <v>-55.9</v>
      </c>
      <c r="P17" s="2"/>
      <c r="Q17" s="2" t="s">
        <v>103</v>
      </c>
      <c r="R17" s="2"/>
      <c r="S17" s="2"/>
      <c r="T17" s="41">
        <v>24.8</v>
      </c>
      <c r="U17" s="41">
        <v>53.4</v>
      </c>
    </row>
    <row r="18" spans="2:21" x14ac:dyDescent="0.25">
      <c r="B18" s="2"/>
      <c r="C18" s="2" t="s">
        <v>14</v>
      </c>
      <c r="D18" s="2"/>
      <c r="E18" s="2"/>
      <c r="F18" s="2"/>
      <c r="G18" s="18">
        <v>202</v>
      </c>
      <c r="H18" s="2"/>
      <c r="I18" s="14" t="s">
        <v>62</v>
      </c>
      <c r="J18" s="15">
        <f>J15-J16-J17</f>
        <v>-150.49999999999986</v>
      </c>
      <c r="K18" s="15">
        <f t="shared" ref="K18:O18" si="2">K15-K16-K17</f>
        <v>28.599999999999724</v>
      </c>
      <c r="L18" s="15">
        <f t="shared" si="2"/>
        <v>69.500000000000085</v>
      </c>
      <c r="M18" s="15">
        <f t="shared" si="2"/>
        <v>-9.8999999999999986</v>
      </c>
      <c r="N18" s="15">
        <f t="shared" si="2"/>
        <v>39.299999999999976</v>
      </c>
      <c r="O18" s="15">
        <f t="shared" si="2"/>
        <v>118.70000000000019</v>
      </c>
      <c r="P18" s="2"/>
      <c r="Q18" s="2" t="s">
        <v>104</v>
      </c>
      <c r="R18" s="2"/>
      <c r="S18" s="2"/>
      <c r="T18" s="41">
        <v>99.2</v>
      </c>
      <c r="U18" s="41">
        <v>107.9</v>
      </c>
    </row>
    <row r="19" spans="2:21" x14ac:dyDescent="0.25">
      <c r="B19" s="2"/>
      <c r="C19" s="2" t="s">
        <v>15</v>
      </c>
      <c r="D19" s="2"/>
      <c r="E19" s="2"/>
      <c r="F19" s="2"/>
      <c r="G19" s="18">
        <v>568.16</v>
      </c>
      <c r="H19" s="2"/>
      <c r="I19" s="2" t="s">
        <v>63</v>
      </c>
      <c r="J19" s="41">
        <v>13.9</v>
      </c>
      <c r="K19" s="41">
        <v>24</v>
      </c>
      <c r="L19" s="41">
        <v>23.6</v>
      </c>
      <c r="M19" s="41">
        <v>11.9</v>
      </c>
      <c r="N19" s="41">
        <v>6.7</v>
      </c>
      <c r="O19" s="41">
        <f>L19+N19-M19</f>
        <v>18.399999999999999</v>
      </c>
      <c r="P19" s="2"/>
      <c r="Q19" s="2" t="s">
        <v>105</v>
      </c>
      <c r="R19" s="2"/>
      <c r="S19" s="2"/>
      <c r="T19" s="41">
        <v>1343.5</v>
      </c>
      <c r="U19" s="41">
        <v>1356.4</v>
      </c>
    </row>
    <row r="20" spans="2:21" x14ac:dyDescent="0.25">
      <c r="B20" s="2"/>
      <c r="C20" s="2" t="s">
        <v>16</v>
      </c>
      <c r="D20" s="2"/>
      <c r="E20" s="2"/>
      <c r="F20" s="2"/>
      <c r="G20" s="18">
        <v>169.63</v>
      </c>
      <c r="H20" s="2"/>
      <c r="I20" s="2" t="s">
        <v>64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2"/>
      <c r="Q20" s="14" t="s">
        <v>106</v>
      </c>
      <c r="R20" s="2"/>
      <c r="S20" s="2"/>
      <c r="T20" s="15">
        <f>SUM(T17:T19)</f>
        <v>1467.5</v>
      </c>
      <c r="U20" s="15">
        <f>SUM(U17:U19)</f>
        <v>1517.7</v>
      </c>
    </row>
    <row r="21" spans="2:21" x14ac:dyDescent="0.25">
      <c r="B21" s="2"/>
      <c r="C21" s="2" t="s">
        <v>17</v>
      </c>
      <c r="D21" s="2"/>
      <c r="E21" s="2"/>
      <c r="F21" s="2"/>
      <c r="G21" s="18">
        <v>0</v>
      </c>
      <c r="H21" s="2"/>
      <c r="I21" s="2" t="s">
        <v>65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2"/>
      <c r="Q21" s="2" t="s">
        <v>107</v>
      </c>
      <c r="R21" s="2"/>
      <c r="S21" s="2"/>
      <c r="T21" s="41">
        <v>0</v>
      </c>
      <c r="U21" s="41">
        <v>0</v>
      </c>
    </row>
    <row r="22" spans="2:21" x14ac:dyDescent="0.25">
      <c r="B22" s="2"/>
      <c r="C22" s="2" t="s">
        <v>18</v>
      </c>
      <c r="D22" s="2"/>
      <c r="E22" s="2"/>
      <c r="F22" s="2"/>
      <c r="G22" s="19">
        <f>U55</f>
        <v>52.5</v>
      </c>
      <c r="H22" s="2"/>
      <c r="I22" s="14" t="s">
        <v>66</v>
      </c>
      <c r="J22" s="15">
        <f>J18-J19-J20-J21</f>
        <v>-164.39999999999986</v>
      </c>
      <c r="K22" s="15">
        <f t="shared" ref="K22:O22" si="3">K18-K19-K20-K21</f>
        <v>4.5999999999997243</v>
      </c>
      <c r="L22" s="15">
        <f t="shared" si="3"/>
        <v>45.900000000000084</v>
      </c>
      <c r="M22" s="15">
        <f t="shared" si="3"/>
        <v>-21.799999999999997</v>
      </c>
      <c r="N22" s="15">
        <f t="shared" si="3"/>
        <v>32.599999999999973</v>
      </c>
      <c r="O22" s="15">
        <f t="shared" si="3"/>
        <v>100.30000000000018</v>
      </c>
      <c r="P22" s="2"/>
      <c r="Q22" s="2" t="s">
        <v>108</v>
      </c>
      <c r="R22" s="2"/>
      <c r="S22" s="2"/>
      <c r="T22" s="41">
        <v>320.39999999999998</v>
      </c>
      <c r="U22" s="41">
        <v>314.7</v>
      </c>
    </row>
    <row r="23" spans="2:21" x14ac:dyDescent="0.25">
      <c r="B23" s="2"/>
      <c r="C23" s="14" t="s">
        <v>19</v>
      </c>
      <c r="D23" s="2"/>
      <c r="E23" s="2"/>
      <c r="F23" s="2"/>
      <c r="G23" s="20">
        <f>G18*G22</f>
        <v>10605</v>
      </c>
      <c r="H23" s="2"/>
      <c r="I23" s="2" t="s">
        <v>67</v>
      </c>
      <c r="J23" s="21">
        <f>IFERROR(J19/J18,0)</f>
        <v>-9.2358803986711049E-2</v>
      </c>
      <c r="K23" s="21">
        <f t="shared" ref="K23:O23" si="4">IFERROR(K19/K18,0)</f>
        <v>0.83916083916084727</v>
      </c>
      <c r="L23" s="21">
        <f t="shared" si="4"/>
        <v>0.33956834532374058</v>
      </c>
      <c r="M23" s="21">
        <f t="shared" si="4"/>
        <v>-1.2020202020202022</v>
      </c>
      <c r="N23" s="21">
        <f t="shared" si="4"/>
        <v>0.17048346055979655</v>
      </c>
      <c r="O23" s="21">
        <f t="shared" si="4"/>
        <v>0.15501263689974701</v>
      </c>
      <c r="P23" s="2"/>
      <c r="Q23" s="14" t="s">
        <v>109</v>
      </c>
      <c r="R23" s="2"/>
      <c r="S23" s="2"/>
      <c r="T23" s="15">
        <f>T20+T21+T22</f>
        <v>1787.9</v>
      </c>
      <c r="U23" s="15">
        <f>U20+U21+U22</f>
        <v>1832.4</v>
      </c>
    </row>
    <row r="24" spans="2:21" x14ac:dyDescent="0.25">
      <c r="B24" s="2"/>
      <c r="C24" s="2" t="s">
        <v>20</v>
      </c>
      <c r="D24" s="2"/>
      <c r="E24" s="2"/>
      <c r="F24" s="2"/>
      <c r="G24" s="22">
        <f>U21</f>
        <v>0</v>
      </c>
      <c r="H24" s="2"/>
      <c r="I24" s="2" t="s">
        <v>68</v>
      </c>
      <c r="J24" s="42">
        <v>49.9</v>
      </c>
      <c r="K24" s="42">
        <v>51.8</v>
      </c>
      <c r="L24" s="42">
        <v>53.2</v>
      </c>
      <c r="M24" s="42">
        <v>52.2</v>
      </c>
      <c r="N24" s="42">
        <v>52.6</v>
      </c>
      <c r="O24" s="42">
        <f>N24</f>
        <v>52.6</v>
      </c>
      <c r="P24" s="2"/>
      <c r="Q24" s="2" t="s">
        <v>64</v>
      </c>
      <c r="R24" s="2"/>
      <c r="S24" s="2"/>
      <c r="T24" s="41">
        <v>0</v>
      </c>
      <c r="U24" s="41">
        <v>0</v>
      </c>
    </row>
    <row r="25" spans="2:21" x14ac:dyDescent="0.25">
      <c r="B25" s="2"/>
      <c r="C25" s="2" t="s">
        <v>21</v>
      </c>
      <c r="D25" s="2"/>
      <c r="E25" s="2"/>
      <c r="F25" s="2"/>
      <c r="G25" s="22">
        <f>U25</f>
        <v>0</v>
      </c>
      <c r="H25" s="2"/>
      <c r="I25" s="2" t="s">
        <v>69</v>
      </c>
      <c r="J25" s="23">
        <f>IFERROR(J22/J24,0)</f>
        <v>-3.2945891783567109</v>
      </c>
      <c r="K25" s="23">
        <f t="shared" ref="K25:O25" si="5">IFERROR(K22/K24,0)</f>
        <v>8.8803088803083491E-2</v>
      </c>
      <c r="L25" s="23">
        <f t="shared" si="5"/>
        <v>0.86278195488721954</v>
      </c>
      <c r="M25" s="23">
        <f t="shared" si="5"/>
        <v>-0.41762452107279685</v>
      </c>
      <c r="N25" s="23">
        <f t="shared" si="5"/>
        <v>0.61977186311787025</v>
      </c>
      <c r="O25" s="23">
        <f t="shared" si="5"/>
        <v>1.9068441064638817</v>
      </c>
      <c r="P25" s="2"/>
      <c r="Q25" s="2" t="s">
        <v>110</v>
      </c>
      <c r="R25" s="2"/>
      <c r="S25" s="2"/>
      <c r="T25" s="41">
        <v>0</v>
      </c>
      <c r="U25" s="41">
        <v>0</v>
      </c>
    </row>
    <row r="26" spans="2:21" x14ac:dyDescent="0.25">
      <c r="B26" s="2"/>
      <c r="C26" s="2" t="s">
        <v>22</v>
      </c>
      <c r="D26" s="2"/>
      <c r="E26" s="2"/>
      <c r="F26" s="2"/>
      <c r="G26" s="22">
        <f>U24</f>
        <v>0</v>
      </c>
      <c r="H26" s="2"/>
      <c r="I26" s="2"/>
      <c r="J26" s="2"/>
      <c r="K26" s="2"/>
      <c r="L26" s="2"/>
      <c r="M26" s="2"/>
      <c r="N26" s="2"/>
      <c r="O26" s="2"/>
      <c r="P26" s="2"/>
      <c r="Q26" s="2" t="s">
        <v>111</v>
      </c>
      <c r="R26" s="2"/>
      <c r="S26" s="2"/>
      <c r="T26" s="41">
        <v>2066.1999999999998</v>
      </c>
      <c r="U26" s="41">
        <v>1996.8</v>
      </c>
    </row>
    <row r="27" spans="2:21" x14ac:dyDescent="0.25">
      <c r="B27" s="2"/>
      <c r="C27" s="2" t="s">
        <v>23</v>
      </c>
      <c r="D27" s="2"/>
      <c r="E27" s="2"/>
      <c r="F27" s="2"/>
      <c r="G27" s="22">
        <f>-U8</f>
        <v>-1691.1</v>
      </c>
      <c r="H27" s="2"/>
      <c r="I27" s="7" t="s">
        <v>70</v>
      </c>
      <c r="J27" s="7"/>
      <c r="K27" s="7"/>
      <c r="L27" s="7"/>
      <c r="M27" s="7"/>
      <c r="N27" s="7"/>
      <c r="O27" s="7"/>
      <c r="P27" s="2"/>
      <c r="Q27" s="14" t="s">
        <v>112</v>
      </c>
      <c r="R27" s="2"/>
      <c r="S27" s="2"/>
      <c r="T27" s="15">
        <f>T23+T24+T25+T26</f>
        <v>3854.1</v>
      </c>
      <c r="U27" s="15">
        <f>U23+U24+U25+U26</f>
        <v>3829.2</v>
      </c>
    </row>
    <row r="28" spans="2:21" ht="14.4" thickBot="1" x14ac:dyDescent="0.3">
      <c r="B28" s="2"/>
      <c r="C28" s="14" t="s">
        <v>24</v>
      </c>
      <c r="D28" s="2"/>
      <c r="E28" s="2"/>
      <c r="F28" s="2"/>
      <c r="G28" s="24">
        <f>SUM(G23:G27)</f>
        <v>8913.9</v>
      </c>
      <c r="H28" s="2"/>
      <c r="I28" s="2" t="s">
        <v>71</v>
      </c>
      <c r="J28" s="25">
        <f>J13</f>
        <v>1831.9</v>
      </c>
      <c r="K28" s="25">
        <f t="shared" ref="K28:O28" si="6">K13</f>
        <v>2234.1999999999998</v>
      </c>
      <c r="L28" s="25">
        <f t="shared" si="6"/>
        <v>2622.8</v>
      </c>
      <c r="M28" s="25">
        <f t="shared" si="6"/>
        <v>599</v>
      </c>
      <c r="N28" s="25">
        <f t="shared" si="6"/>
        <v>735.3</v>
      </c>
      <c r="O28" s="25">
        <f t="shared" si="6"/>
        <v>2759.1000000000004</v>
      </c>
      <c r="P28" s="2"/>
      <c r="Q28" s="6" t="s">
        <v>113</v>
      </c>
      <c r="R28" s="2"/>
      <c r="S28" s="2"/>
      <c r="T28" s="26">
        <f>T16-T27</f>
        <v>0</v>
      </c>
      <c r="U28" s="26">
        <f>U16-U27</f>
        <v>0</v>
      </c>
    </row>
    <row r="29" spans="2:21" ht="14.4" thickTop="1" x14ac:dyDescent="0.25">
      <c r="B29" s="2"/>
      <c r="C29" s="2"/>
      <c r="D29" s="2"/>
      <c r="E29" s="2"/>
      <c r="F29" s="2"/>
      <c r="G29" s="2"/>
      <c r="H29" s="2"/>
      <c r="I29" s="2" t="s">
        <v>72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f>L29+N29-M29</f>
        <v>0</v>
      </c>
      <c r="P29" s="2"/>
      <c r="Q29" s="6"/>
      <c r="R29" s="2"/>
      <c r="S29" s="2"/>
      <c r="T29" s="26"/>
      <c r="U29" s="26"/>
    </row>
    <row r="30" spans="2:21" x14ac:dyDescent="0.25">
      <c r="B30" s="2"/>
      <c r="C30" s="7" t="s">
        <v>25</v>
      </c>
      <c r="D30" s="7"/>
      <c r="E30" s="7"/>
      <c r="F30" s="7"/>
      <c r="G30" s="7"/>
      <c r="H30" s="2"/>
      <c r="I30" s="14" t="s">
        <v>73</v>
      </c>
      <c r="J30" s="15">
        <f>J28+J29</f>
        <v>1831.9</v>
      </c>
      <c r="K30" s="15">
        <f t="shared" ref="K30:O30" si="7">K28+K29</f>
        <v>2234.1999999999998</v>
      </c>
      <c r="L30" s="15">
        <f t="shared" si="7"/>
        <v>2622.8</v>
      </c>
      <c r="M30" s="15">
        <f t="shared" si="7"/>
        <v>599</v>
      </c>
      <c r="N30" s="15">
        <f t="shared" si="7"/>
        <v>735.3</v>
      </c>
      <c r="O30" s="15">
        <f t="shared" si="7"/>
        <v>2759.1000000000004</v>
      </c>
      <c r="P30" s="2"/>
      <c r="Q30" s="2"/>
      <c r="R30" s="2"/>
      <c r="S30" s="2"/>
      <c r="T30" s="2"/>
      <c r="U30" s="2"/>
    </row>
    <row r="31" spans="2:21" x14ac:dyDescent="0.25">
      <c r="B31" s="2"/>
      <c r="C31" s="2"/>
      <c r="D31" s="11" t="s">
        <v>26</v>
      </c>
      <c r="E31" s="11" t="s">
        <v>27</v>
      </c>
      <c r="F31" s="11" t="s">
        <v>28</v>
      </c>
      <c r="G31" s="11" t="s">
        <v>29</v>
      </c>
      <c r="H31" s="2"/>
      <c r="I31" s="6" t="s">
        <v>74</v>
      </c>
      <c r="J31" s="27">
        <f>IFERROR(J30/J11,0)</f>
        <v>0.86267953849776313</v>
      </c>
      <c r="K31" s="27">
        <f t="shared" ref="K31:O31" si="8">IFERROR(K30/K11,0)</f>
        <v>0.86950768632029574</v>
      </c>
      <c r="L31" s="27">
        <f t="shared" si="8"/>
        <v>0.85603316035118648</v>
      </c>
      <c r="M31" s="27">
        <f t="shared" si="8"/>
        <v>0.83881809270410301</v>
      </c>
      <c r="N31" s="27">
        <f t="shared" si="8"/>
        <v>0.83461975028376845</v>
      </c>
      <c r="O31" s="27">
        <f t="shared" si="8"/>
        <v>0.85399900953324259</v>
      </c>
      <c r="P31" s="2"/>
      <c r="Q31" s="7" t="s">
        <v>114</v>
      </c>
      <c r="R31" s="28" t="s">
        <v>115</v>
      </c>
      <c r="S31" s="28" t="s">
        <v>116</v>
      </c>
      <c r="T31" s="28" t="s">
        <v>117</v>
      </c>
      <c r="U31" s="28" t="s">
        <v>118</v>
      </c>
    </row>
    <row r="32" spans="2:21" x14ac:dyDescent="0.25">
      <c r="B32" s="2"/>
      <c r="C32" s="2"/>
      <c r="D32" s="49">
        <f>DATE(2026,3,31)</f>
        <v>46112</v>
      </c>
      <c r="E32" s="29" t="s">
        <v>142</v>
      </c>
      <c r="F32" s="29" t="s">
        <v>143</v>
      </c>
      <c r="G32" s="29" t="s">
        <v>144</v>
      </c>
      <c r="H32" s="2"/>
      <c r="I32" s="2" t="s">
        <v>75</v>
      </c>
      <c r="J32" s="25">
        <f>J15</f>
        <v>-200.89999999999986</v>
      </c>
      <c r="K32" s="25">
        <f t="shared" ref="K32:O32" si="9">K15</f>
        <v>-67.700000000000273</v>
      </c>
      <c r="L32" s="25">
        <f t="shared" si="9"/>
        <v>7.4000000000000909</v>
      </c>
      <c r="M32" s="25">
        <f t="shared" si="9"/>
        <v>-27.5</v>
      </c>
      <c r="N32" s="25">
        <f t="shared" si="9"/>
        <v>27.899999999999977</v>
      </c>
      <c r="O32" s="25">
        <f t="shared" si="9"/>
        <v>62.800000000000182</v>
      </c>
      <c r="P32" s="2"/>
      <c r="Q32" s="2" t="s">
        <v>119</v>
      </c>
      <c r="R32" s="42">
        <v>0</v>
      </c>
      <c r="S32" s="18">
        <v>0</v>
      </c>
      <c r="T32" s="19">
        <f>IF(AND(S32&gt;0,S32&lt;$G$18),R32,0)</f>
        <v>0</v>
      </c>
      <c r="U32" s="25">
        <f>T32*S32</f>
        <v>0</v>
      </c>
    </row>
    <row r="33" spans="2:21" x14ac:dyDescent="0.25">
      <c r="B33" s="2"/>
      <c r="C33" s="14" t="s">
        <v>30</v>
      </c>
      <c r="D33" s="47">
        <f>G28/O11</f>
        <v>2.7590380091618174</v>
      </c>
      <c r="E33" s="47">
        <f>G28/E34</f>
        <v>2.4065604751619869</v>
      </c>
      <c r="F33" s="30" t="s">
        <v>9</v>
      </c>
      <c r="G33" s="30" t="s">
        <v>9</v>
      </c>
      <c r="H33" s="2"/>
      <c r="I33" s="2" t="s">
        <v>72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f>L33+N33-M33</f>
        <v>0</v>
      </c>
      <c r="P33" s="2"/>
      <c r="Q33" s="2" t="s">
        <v>120</v>
      </c>
      <c r="R33" s="42">
        <v>0</v>
      </c>
      <c r="S33" s="18">
        <v>0</v>
      </c>
      <c r="T33" s="19">
        <f t="shared" ref="T33:T36" si="10">IF(AND(S33&gt;0,S33&lt;$G$18),R33,0)</f>
        <v>0</v>
      </c>
      <c r="U33" s="25">
        <f t="shared" ref="U33:U36" si="11">T33*S33</f>
        <v>0</v>
      </c>
    </row>
    <row r="34" spans="2:21" x14ac:dyDescent="0.25">
      <c r="B34" s="2"/>
      <c r="C34" s="6" t="s">
        <v>31</v>
      </c>
      <c r="D34" s="48">
        <f>O11</f>
        <v>3230.8</v>
      </c>
      <c r="E34" s="48">
        <v>3704</v>
      </c>
      <c r="F34" s="2"/>
      <c r="G34" s="2"/>
      <c r="H34" s="2"/>
      <c r="I34" s="2" t="s">
        <v>76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f>L34+N34-M34</f>
        <v>0</v>
      </c>
      <c r="P34" s="2"/>
      <c r="Q34" s="2" t="s">
        <v>121</v>
      </c>
      <c r="R34" s="42">
        <v>0</v>
      </c>
      <c r="S34" s="18">
        <v>0</v>
      </c>
      <c r="T34" s="19">
        <f t="shared" si="10"/>
        <v>0</v>
      </c>
      <c r="U34" s="25">
        <f t="shared" si="11"/>
        <v>0</v>
      </c>
    </row>
    <row r="35" spans="2:21" x14ac:dyDescent="0.25">
      <c r="B35" s="2"/>
      <c r="C35" s="14" t="s">
        <v>32</v>
      </c>
      <c r="D35" s="47">
        <f>IF(O38&lt;=0,"NM",IF(G28/O38&gt;NM_Cap,"NM",G28/O38))</f>
        <v>42.34631828978619</v>
      </c>
      <c r="E35" s="30" t="s">
        <v>9</v>
      </c>
      <c r="F35" s="30" t="s">
        <v>9</v>
      </c>
      <c r="G35" s="30" t="s">
        <v>9</v>
      </c>
      <c r="H35" s="2"/>
      <c r="I35" s="14" t="s">
        <v>77</v>
      </c>
      <c r="J35" s="15">
        <f>J32+J33+J34</f>
        <v>-200.89999999999986</v>
      </c>
      <c r="K35" s="15">
        <f t="shared" ref="K35:O35" si="12">K32+K33+K34</f>
        <v>-67.700000000000273</v>
      </c>
      <c r="L35" s="15">
        <f t="shared" si="12"/>
        <v>7.4000000000000909</v>
      </c>
      <c r="M35" s="15">
        <f t="shared" si="12"/>
        <v>-27.5</v>
      </c>
      <c r="N35" s="15">
        <f t="shared" si="12"/>
        <v>27.899999999999977</v>
      </c>
      <c r="O35" s="15">
        <f t="shared" si="12"/>
        <v>62.800000000000182</v>
      </c>
      <c r="P35" s="2"/>
      <c r="Q35" s="2" t="s">
        <v>122</v>
      </c>
      <c r="R35" s="42">
        <v>0</v>
      </c>
      <c r="S35" s="18">
        <v>0</v>
      </c>
      <c r="T35" s="19">
        <f t="shared" si="10"/>
        <v>0</v>
      </c>
      <c r="U35" s="25">
        <f t="shared" si="11"/>
        <v>0</v>
      </c>
    </row>
    <row r="36" spans="2:21" x14ac:dyDescent="0.25">
      <c r="B36" s="2"/>
      <c r="C36" s="6" t="s">
        <v>31</v>
      </c>
      <c r="D36" s="48">
        <f>O38</f>
        <v>210.50000000000017</v>
      </c>
      <c r="E36" s="2"/>
      <c r="F36" s="2"/>
      <c r="G36" s="2"/>
      <c r="H36" s="2"/>
      <c r="I36" s="6" t="s">
        <v>74</v>
      </c>
      <c r="J36" s="27">
        <f>IFERROR(J35/J11,0)</f>
        <v>-9.4607958558982741E-2</v>
      </c>
      <c r="K36" s="27">
        <f t="shared" ref="K36:O36" si="13">IFERROR(K35/K11,0)</f>
        <v>-2.6347538431601585E-2</v>
      </c>
      <c r="L36" s="27">
        <f t="shared" si="13"/>
        <v>2.4152224289304778E-3</v>
      </c>
      <c r="M36" s="27">
        <f t="shared" si="13"/>
        <v>-3.8510012603276848E-2</v>
      </c>
      <c r="N36" s="27">
        <f t="shared" si="13"/>
        <v>3.1668558456299636E-2</v>
      </c>
      <c r="O36" s="27">
        <f t="shared" si="13"/>
        <v>1.9437910115141815E-2</v>
      </c>
      <c r="P36" s="2"/>
      <c r="Q36" s="2" t="s">
        <v>123</v>
      </c>
      <c r="R36" s="42">
        <v>0</v>
      </c>
      <c r="S36" s="18">
        <v>0</v>
      </c>
      <c r="T36" s="19">
        <f t="shared" si="10"/>
        <v>0</v>
      </c>
      <c r="U36" s="25">
        <f t="shared" si="11"/>
        <v>0</v>
      </c>
    </row>
    <row r="37" spans="2:21" x14ac:dyDescent="0.25">
      <c r="B37" s="2"/>
      <c r="C37" s="14" t="s">
        <v>33</v>
      </c>
      <c r="D37" s="47" t="str">
        <f>IF(O35&lt;=0,"NM",IF(G28/O35&gt;NM_Cap,"NM",G28/O35))</f>
        <v>NM</v>
      </c>
      <c r="E37" s="30" t="s">
        <v>9</v>
      </c>
      <c r="F37" s="30" t="s">
        <v>9</v>
      </c>
      <c r="G37" s="30" t="s">
        <v>9</v>
      </c>
      <c r="H37" s="2"/>
      <c r="I37" s="2" t="s">
        <v>78</v>
      </c>
      <c r="J37" s="41">
        <v>72.7</v>
      </c>
      <c r="K37" s="41">
        <v>96.8</v>
      </c>
      <c r="L37" s="41">
        <v>136.30000000000001</v>
      </c>
      <c r="M37" s="41">
        <v>28.8</v>
      </c>
      <c r="N37" s="41">
        <v>40.200000000000003</v>
      </c>
      <c r="O37" s="41">
        <f>L37+N37-M37</f>
        <v>147.69999999999999</v>
      </c>
      <c r="P37" s="2"/>
      <c r="Q37" s="14" t="s">
        <v>124</v>
      </c>
      <c r="R37" s="31">
        <f>SUM(R32:R36)</f>
        <v>0</v>
      </c>
      <c r="S37" s="43"/>
      <c r="T37" s="31">
        <f>SUM(T32:T36)</f>
        <v>0</v>
      </c>
      <c r="U37" s="15">
        <f>SUM(U32:U36)</f>
        <v>0</v>
      </c>
    </row>
    <row r="38" spans="2:21" x14ac:dyDescent="0.25">
      <c r="B38" s="2"/>
      <c r="C38" s="6" t="s">
        <v>31</v>
      </c>
      <c r="D38" s="48">
        <f>O35</f>
        <v>62.800000000000182</v>
      </c>
      <c r="E38" s="2"/>
      <c r="F38" s="2"/>
      <c r="G38" s="2"/>
      <c r="H38" s="2"/>
      <c r="I38" s="14" t="s">
        <v>79</v>
      </c>
      <c r="J38" s="15">
        <f>J35+J37</f>
        <v>-128.19999999999987</v>
      </c>
      <c r="K38" s="15">
        <f t="shared" ref="K38:O38" si="14">K35+K37</f>
        <v>29.099999999999724</v>
      </c>
      <c r="L38" s="15">
        <f t="shared" si="14"/>
        <v>143.7000000000001</v>
      </c>
      <c r="M38" s="15">
        <f t="shared" si="14"/>
        <v>1.3000000000000007</v>
      </c>
      <c r="N38" s="15">
        <f t="shared" si="14"/>
        <v>68.09999999999998</v>
      </c>
      <c r="O38" s="15">
        <f t="shared" si="14"/>
        <v>210.50000000000017</v>
      </c>
      <c r="P38" s="2"/>
      <c r="Q38" s="14"/>
      <c r="R38" s="32"/>
      <c r="S38" s="2"/>
      <c r="T38" s="32"/>
      <c r="U38" s="33"/>
    </row>
    <row r="39" spans="2:21" x14ac:dyDescent="0.25">
      <c r="B39" s="2"/>
      <c r="C39" s="14" t="s">
        <v>34</v>
      </c>
      <c r="D39" s="47" t="str">
        <f>IF(O46&lt;=0,"NM",IF(G18/O46&gt;NM_Cap,"NM",G18/O46))</f>
        <v>NM</v>
      </c>
      <c r="E39" s="47">
        <f>IFERROR(IF(E40&lt;=0,"NM",IF(G18/E40&gt;NM_Cap,"NM",G18/E40)),"NA")</f>
        <v>15.443425076452598</v>
      </c>
      <c r="F39" s="30" t="s">
        <v>9</v>
      </c>
      <c r="G39" s="30" t="s">
        <v>9</v>
      </c>
      <c r="H39" s="2"/>
      <c r="I39" s="6" t="s">
        <v>74</v>
      </c>
      <c r="J39" s="27">
        <f>IFERROR(J38/J11,0)</f>
        <v>-6.0372027313397636E-2</v>
      </c>
      <c r="K39" s="27">
        <f t="shared" ref="K39:O39" si="15">IFERROR(K38/K11,0)</f>
        <v>1.1325160537069362E-2</v>
      </c>
      <c r="L39" s="27">
        <f t="shared" si="15"/>
        <v>4.6901008518554818E-2</v>
      </c>
      <c r="M39" s="27">
        <f t="shared" si="15"/>
        <v>1.8204733230639976E-3</v>
      </c>
      <c r="N39" s="27">
        <f t="shared" si="15"/>
        <v>7.7298524404086244E-2</v>
      </c>
      <c r="O39" s="27">
        <f t="shared" si="15"/>
        <v>6.5154141389129672E-2</v>
      </c>
      <c r="P39" s="2"/>
      <c r="Q39" s="2"/>
      <c r="R39" s="2"/>
      <c r="S39" s="2"/>
      <c r="T39" s="2"/>
      <c r="U39" s="2"/>
    </row>
    <row r="40" spans="2:21" x14ac:dyDescent="0.25">
      <c r="B40" s="2"/>
      <c r="C40" s="6" t="s">
        <v>31</v>
      </c>
      <c r="D40" s="23">
        <f>O46</f>
        <v>1.9068441064638817</v>
      </c>
      <c r="E40" s="23">
        <v>13.08</v>
      </c>
      <c r="F40" s="2"/>
      <c r="G40" s="2"/>
      <c r="H40" s="2"/>
      <c r="I40" s="2" t="s">
        <v>80</v>
      </c>
      <c r="J40" s="25">
        <f>J22</f>
        <v>-164.39999999999986</v>
      </c>
      <c r="K40" s="25">
        <f t="shared" ref="K40:O40" si="16">K22</f>
        <v>4.5999999999997243</v>
      </c>
      <c r="L40" s="25">
        <f t="shared" si="16"/>
        <v>45.900000000000084</v>
      </c>
      <c r="M40" s="25">
        <f t="shared" si="16"/>
        <v>-21.799999999999997</v>
      </c>
      <c r="N40" s="25">
        <f t="shared" si="16"/>
        <v>32.599999999999973</v>
      </c>
      <c r="O40" s="25">
        <f t="shared" si="16"/>
        <v>100.30000000000018</v>
      </c>
      <c r="P40" s="2"/>
      <c r="Q40" s="7" t="s">
        <v>125</v>
      </c>
      <c r="R40" s="28" t="s">
        <v>126</v>
      </c>
      <c r="S40" s="28" t="s">
        <v>127</v>
      </c>
      <c r="T40" s="28" t="s">
        <v>128</v>
      </c>
      <c r="U40" s="28" t="s">
        <v>129</v>
      </c>
    </row>
    <row r="41" spans="2:21" x14ac:dyDescent="0.25">
      <c r="B41" s="2"/>
      <c r="C41" s="14" t="s">
        <v>35</v>
      </c>
      <c r="D41" s="34">
        <f>O51/G23</f>
        <v>7.0023573785950019E-2</v>
      </c>
      <c r="E41" s="30" t="s">
        <v>9</v>
      </c>
      <c r="F41" s="30" t="s">
        <v>9</v>
      </c>
      <c r="G41" s="30" t="s">
        <v>9</v>
      </c>
      <c r="H41" s="2"/>
      <c r="I41" s="2" t="s">
        <v>76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f>L41+N41-M41</f>
        <v>0</v>
      </c>
      <c r="P41" s="2"/>
      <c r="Q41" s="2" t="s">
        <v>130</v>
      </c>
      <c r="R41" s="41">
        <v>0</v>
      </c>
      <c r="S41" s="18">
        <v>0</v>
      </c>
      <c r="T41" s="44">
        <f>IFERROR(1000/S41,0)</f>
        <v>0</v>
      </c>
      <c r="U41" s="19">
        <f>IFERROR(R41/S41,0)</f>
        <v>0</v>
      </c>
    </row>
    <row r="42" spans="2:21" x14ac:dyDescent="0.25">
      <c r="B42" s="2"/>
      <c r="C42" s="6" t="s">
        <v>31</v>
      </c>
      <c r="D42" s="48">
        <f>O51</f>
        <v>742.59999999999991</v>
      </c>
      <c r="E42" s="2"/>
      <c r="F42" s="2"/>
      <c r="G42" s="2"/>
      <c r="H42" s="2"/>
      <c r="I42" s="2" t="s">
        <v>72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1">
        <f>L42+N42-M42</f>
        <v>0</v>
      </c>
      <c r="P42" s="2"/>
      <c r="Q42" s="2" t="s">
        <v>131</v>
      </c>
      <c r="R42" s="41">
        <v>0</v>
      </c>
      <c r="S42" s="18">
        <v>0</v>
      </c>
      <c r="T42" s="44">
        <f t="shared" ref="T42:T45" si="17">IFERROR(1000/S42,0)</f>
        <v>0</v>
      </c>
      <c r="U42" s="19">
        <f t="shared" ref="U42:U45" si="18">IFERROR(R42/S42,0)</f>
        <v>0</v>
      </c>
    </row>
    <row r="43" spans="2:21" x14ac:dyDescent="0.25">
      <c r="B43" s="2"/>
      <c r="C43" s="2"/>
      <c r="D43" s="2"/>
      <c r="E43" s="2"/>
      <c r="F43" s="2"/>
      <c r="G43" s="2"/>
      <c r="H43" s="2"/>
      <c r="I43" s="2" t="s">
        <v>81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f>L43+N43-M43</f>
        <v>0</v>
      </c>
      <c r="P43" s="2"/>
      <c r="Q43" s="2" t="s">
        <v>132</v>
      </c>
      <c r="R43" s="41">
        <v>0</v>
      </c>
      <c r="S43" s="18">
        <v>0</v>
      </c>
      <c r="T43" s="44">
        <f t="shared" si="17"/>
        <v>0</v>
      </c>
      <c r="U43" s="19">
        <f t="shared" si="18"/>
        <v>0</v>
      </c>
    </row>
    <row r="44" spans="2:21" x14ac:dyDescent="0.25">
      <c r="B44" s="2"/>
      <c r="C44" s="7" t="s">
        <v>36</v>
      </c>
      <c r="D44" s="7"/>
      <c r="E44" s="7"/>
      <c r="F44" s="7"/>
      <c r="G44" s="7"/>
      <c r="H44" s="2"/>
      <c r="I44" s="14" t="s">
        <v>82</v>
      </c>
      <c r="J44" s="15">
        <f>J40+J41+J42+J43</f>
        <v>-164.39999999999986</v>
      </c>
      <c r="K44" s="15">
        <f t="shared" ref="K44:O44" si="19">K40+K41+K42+K43</f>
        <v>4.5999999999997243</v>
      </c>
      <c r="L44" s="15">
        <f t="shared" si="19"/>
        <v>45.900000000000084</v>
      </c>
      <c r="M44" s="15">
        <f t="shared" si="19"/>
        <v>-21.799999999999997</v>
      </c>
      <c r="N44" s="15">
        <f t="shared" si="19"/>
        <v>32.599999999999973</v>
      </c>
      <c r="O44" s="15">
        <f t="shared" si="19"/>
        <v>100.30000000000018</v>
      </c>
      <c r="P44" s="2"/>
      <c r="Q44" s="2" t="s">
        <v>133</v>
      </c>
      <c r="R44" s="41">
        <v>0</v>
      </c>
      <c r="S44" s="18">
        <v>0</v>
      </c>
      <c r="T44" s="44">
        <f t="shared" si="17"/>
        <v>0</v>
      </c>
      <c r="U44" s="19">
        <f t="shared" si="18"/>
        <v>0</v>
      </c>
    </row>
    <row r="45" spans="2:21" x14ac:dyDescent="0.25">
      <c r="B45" s="2"/>
      <c r="C45" s="2" t="s">
        <v>37</v>
      </c>
      <c r="D45" s="2"/>
      <c r="E45" s="2"/>
      <c r="F45" s="2"/>
      <c r="G45" s="34">
        <f>IF(U26&lt;=0,"NM",U21/(U21+U26))</f>
        <v>0</v>
      </c>
      <c r="H45" s="2"/>
      <c r="I45" s="6" t="s">
        <v>74</v>
      </c>
      <c r="J45" s="27">
        <f>IFERROR(J44/J11,0)</f>
        <v>-7.7419354838709611E-2</v>
      </c>
      <c r="K45" s="27">
        <f t="shared" ref="K45:O45" si="20">IFERROR(K44/K11,0)</f>
        <v>1.7902315625607022E-3</v>
      </c>
      <c r="L45" s="27">
        <f t="shared" si="20"/>
        <v>1.4980906687555104E-2</v>
      </c>
      <c r="M45" s="27">
        <f t="shared" si="20"/>
        <v>-3.0527937263688555E-2</v>
      </c>
      <c r="N45" s="27">
        <f t="shared" si="20"/>
        <v>3.700340522133936E-2</v>
      </c>
      <c r="O45" s="27">
        <f t="shared" si="20"/>
        <v>3.1044942429119777E-2</v>
      </c>
      <c r="P45" s="2"/>
      <c r="Q45" s="2" t="s">
        <v>134</v>
      </c>
      <c r="R45" s="41">
        <v>0</v>
      </c>
      <c r="S45" s="18">
        <v>0</v>
      </c>
      <c r="T45" s="44">
        <f t="shared" si="17"/>
        <v>0</v>
      </c>
      <c r="U45" s="19">
        <f t="shared" si="18"/>
        <v>0</v>
      </c>
    </row>
    <row r="46" spans="2:21" x14ac:dyDescent="0.25">
      <c r="B46" s="2"/>
      <c r="C46" s="2" t="s">
        <v>38</v>
      </c>
      <c r="D46" s="2"/>
      <c r="E46" s="2"/>
      <c r="F46" s="2"/>
      <c r="G46" s="34">
        <f>IF(U21+U26&lt;=0,"NM",O35*(1-G15)/(U21+U26))</f>
        <v>2.0770787216380815E-2</v>
      </c>
      <c r="H46" s="2"/>
      <c r="I46" s="2" t="s">
        <v>83</v>
      </c>
      <c r="J46" s="23">
        <f>IFERROR(J44/J24,0)</f>
        <v>-3.2945891783567109</v>
      </c>
      <c r="K46" s="23">
        <f t="shared" ref="K46:O46" si="21">IFERROR(K44/K24,0)</f>
        <v>8.8803088803083491E-2</v>
      </c>
      <c r="L46" s="23">
        <f t="shared" si="21"/>
        <v>0.86278195488721954</v>
      </c>
      <c r="M46" s="23">
        <f t="shared" si="21"/>
        <v>-0.41762452107279685</v>
      </c>
      <c r="N46" s="23">
        <f t="shared" si="21"/>
        <v>0.61977186311787025</v>
      </c>
      <c r="O46" s="23">
        <f t="shared" si="21"/>
        <v>1.9068441064638817</v>
      </c>
      <c r="P46" s="2"/>
      <c r="Q46" s="14" t="s">
        <v>124</v>
      </c>
      <c r="R46" s="15">
        <f>SUM(R41:R45)</f>
        <v>0</v>
      </c>
      <c r="S46" s="43"/>
      <c r="T46" s="43"/>
      <c r="U46" s="31">
        <f>SUM(U41:U45)</f>
        <v>0</v>
      </c>
    </row>
    <row r="47" spans="2:21" x14ac:dyDescent="0.25">
      <c r="B47" s="2"/>
      <c r="C47" s="2" t="s">
        <v>39</v>
      </c>
      <c r="D47" s="2"/>
      <c r="E47" s="2"/>
      <c r="F47" s="2"/>
      <c r="G47" s="34">
        <f>IF(U26&lt;=0,"NM",O44/U26)</f>
        <v>5.0230368589743682E-2</v>
      </c>
      <c r="H47" s="2"/>
      <c r="I47" s="2"/>
      <c r="J47" s="2"/>
      <c r="K47" s="2"/>
      <c r="L47" s="2"/>
      <c r="M47" s="2"/>
      <c r="N47" s="2"/>
      <c r="O47" s="2"/>
      <c r="P47" s="2"/>
      <c r="Q47" s="14"/>
      <c r="R47" s="33"/>
      <c r="S47" s="2"/>
      <c r="T47" s="2"/>
      <c r="U47" s="32"/>
    </row>
    <row r="48" spans="2:21" x14ac:dyDescent="0.25">
      <c r="B48" s="2"/>
      <c r="C48" s="2" t="s">
        <v>40</v>
      </c>
      <c r="D48" s="2"/>
      <c r="E48" s="2"/>
      <c r="F48" s="2"/>
      <c r="G48" s="34">
        <f>IFERROR(O44/U16,"NM")</f>
        <v>2.6193460775096676E-2</v>
      </c>
      <c r="H48" s="2"/>
      <c r="I48" s="7" t="s">
        <v>84</v>
      </c>
      <c r="J48" s="7"/>
      <c r="K48" s="7"/>
      <c r="L48" s="7"/>
      <c r="M48" s="7"/>
      <c r="N48" s="7"/>
      <c r="O48" s="7"/>
      <c r="P48" s="2"/>
      <c r="Q48" s="2"/>
      <c r="R48" s="2"/>
      <c r="S48" s="2"/>
      <c r="T48" s="2"/>
      <c r="U48" s="2"/>
    </row>
    <row r="49" spans="2:21" x14ac:dyDescent="0.25">
      <c r="B49" s="2"/>
      <c r="C49" s="2" t="s">
        <v>41</v>
      </c>
      <c r="D49" s="2"/>
      <c r="E49" s="2"/>
      <c r="F49" s="2"/>
      <c r="G49" s="35">
        <f>G21*4</f>
        <v>0</v>
      </c>
      <c r="H49" s="2"/>
      <c r="I49" s="2" t="s">
        <v>85</v>
      </c>
      <c r="J49" s="41">
        <v>351</v>
      </c>
      <c r="K49" s="41">
        <v>598.6</v>
      </c>
      <c r="L49" s="41">
        <v>760.7</v>
      </c>
      <c r="M49" s="41">
        <v>161.6</v>
      </c>
      <c r="N49" s="41">
        <v>198.8</v>
      </c>
      <c r="O49" s="41">
        <f>L49+N49-M49</f>
        <v>797.9</v>
      </c>
      <c r="P49" s="2"/>
      <c r="Q49" s="7" t="s">
        <v>141</v>
      </c>
      <c r="R49" s="7"/>
      <c r="S49" s="7"/>
      <c r="T49" s="7"/>
      <c r="U49" s="7"/>
    </row>
    <row r="50" spans="2:21" x14ac:dyDescent="0.25">
      <c r="B50" s="2"/>
      <c r="C50" s="2"/>
      <c r="D50" s="2"/>
      <c r="E50" s="2"/>
      <c r="F50" s="2"/>
      <c r="G50" s="2"/>
      <c r="H50" s="2"/>
      <c r="I50" s="2" t="s">
        <v>86</v>
      </c>
      <c r="J50" s="41">
        <v>33.700000000000003</v>
      </c>
      <c r="K50" s="41">
        <v>37.9</v>
      </c>
      <c r="L50" s="41">
        <v>53.2</v>
      </c>
      <c r="M50" s="41">
        <v>13.3</v>
      </c>
      <c r="N50" s="41">
        <v>15.4</v>
      </c>
      <c r="O50" s="41">
        <f>L50+N50-M50</f>
        <v>55.300000000000011</v>
      </c>
      <c r="P50" s="2"/>
      <c r="Q50" s="2" t="s">
        <v>135</v>
      </c>
      <c r="R50" s="2"/>
      <c r="S50" s="2"/>
      <c r="T50" s="2"/>
      <c r="U50" s="42">
        <v>52.5</v>
      </c>
    </row>
    <row r="51" spans="2:21" x14ac:dyDescent="0.25">
      <c r="B51" s="2"/>
      <c r="C51" s="7" t="s">
        <v>42</v>
      </c>
      <c r="D51" s="7"/>
      <c r="E51" s="7"/>
      <c r="F51" s="7"/>
      <c r="G51" s="7"/>
      <c r="H51" s="2"/>
      <c r="I51" s="14" t="s">
        <v>87</v>
      </c>
      <c r="J51" s="15">
        <f>J49-J50</f>
        <v>317.3</v>
      </c>
      <c r="K51" s="15">
        <f t="shared" ref="K51:O51" si="22">K49-K50</f>
        <v>560.70000000000005</v>
      </c>
      <c r="L51" s="15">
        <f t="shared" si="22"/>
        <v>707.5</v>
      </c>
      <c r="M51" s="15">
        <f t="shared" si="22"/>
        <v>148.29999999999998</v>
      </c>
      <c r="N51" s="15">
        <f t="shared" si="22"/>
        <v>183.4</v>
      </c>
      <c r="O51" s="15">
        <f t="shared" si="22"/>
        <v>742.59999999999991</v>
      </c>
      <c r="P51" s="2"/>
      <c r="Q51" s="2" t="s">
        <v>136</v>
      </c>
      <c r="R51" s="2"/>
      <c r="S51" s="2"/>
      <c r="T51" s="2"/>
      <c r="U51" s="19">
        <f>T37</f>
        <v>0</v>
      </c>
    </row>
    <row r="52" spans="2:21" x14ac:dyDescent="0.25">
      <c r="B52" s="2"/>
      <c r="C52" s="2"/>
      <c r="D52" s="36" t="s">
        <v>43</v>
      </c>
      <c r="E52" s="36" t="s">
        <v>44</v>
      </c>
      <c r="F52" s="36" t="s">
        <v>45</v>
      </c>
      <c r="G52" s="36" t="s">
        <v>46</v>
      </c>
      <c r="H52" s="2"/>
      <c r="I52" s="6" t="s">
        <v>74</v>
      </c>
      <c r="J52" s="27">
        <f>IFERROR(J51/J11,0)</f>
        <v>0.14942312220390866</v>
      </c>
      <c r="K52" s="27">
        <f t="shared" ref="K52:O52" si="23">IFERROR(K51/K11,0)</f>
        <v>0.2182136602451839</v>
      </c>
      <c r="L52" s="27">
        <f t="shared" si="23"/>
        <v>0.23091484709030974</v>
      </c>
      <c r="M52" s="27">
        <f t="shared" si="23"/>
        <v>0.20767399523876204</v>
      </c>
      <c r="N52" s="27">
        <f t="shared" si="23"/>
        <v>0.20817253121452894</v>
      </c>
      <c r="O52" s="27">
        <f t="shared" si="23"/>
        <v>0.22985019190293421</v>
      </c>
      <c r="P52" s="2"/>
      <c r="Q52" s="2" t="s">
        <v>137</v>
      </c>
      <c r="R52" s="2"/>
      <c r="S52" s="2"/>
      <c r="T52" s="2"/>
      <c r="U52" s="37">
        <f>-IFERROR(U37/G18,0)</f>
        <v>0</v>
      </c>
    </row>
    <row r="53" spans="2:21" x14ac:dyDescent="0.25">
      <c r="B53" s="2"/>
      <c r="C53" s="38" t="s">
        <v>47</v>
      </c>
      <c r="D53" s="2"/>
      <c r="E53" s="2"/>
      <c r="F53" s="2"/>
      <c r="G53" s="2"/>
      <c r="H53" s="2"/>
      <c r="I53" s="2" t="s">
        <v>88</v>
      </c>
      <c r="J53" s="23">
        <f>IFERROR(J51/J24,0)</f>
        <v>6.3587174348697397</v>
      </c>
      <c r="K53" s="23">
        <f t="shared" ref="K53:O53" si="24">IFERROR(K51/K24,0)</f>
        <v>10.824324324324326</v>
      </c>
      <c r="L53" s="23">
        <f t="shared" si="24"/>
        <v>13.298872180451127</v>
      </c>
      <c r="M53" s="23">
        <f t="shared" si="24"/>
        <v>2.8409961685823748</v>
      </c>
      <c r="N53" s="23">
        <f t="shared" si="24"/>
        <v>3.4866920152091256</v>
      </c>
      <c r="O53" s="23">
        <f t="shared" si="24"/>
        <v>14.117870722433459</v>
      </c>
      <c r="P53" s="2"/>
      <c r="Q53" s="2" t="s">
        <v>138</v>
      </c>
      <c r="R53" s="2"/>
      <c r="S53" s="2"/>
      <c r="T53" s="2"/>
      <c r="U53" s="19">
        <f>U51+U52</f>
        <v>0</v>
      </c>
    </row>
    <row r="54" spans="2:21" x14ac:dyDescent="0.25">
      <c r="B54" s="2"/>
      <c r="C54" s="2" t="s">
        <v>48</v>
      </c>
      <c r="D54" s="34">
        <f>IFERROR(L11/K11-1,"NA")</f>
        <v>0.19241097489783998</v>
      </c>
      <c r="E54" s="34">
        <f>IF(OR(K38&lt;=0,L38&lt;=0),"NM",L38/K38-1)</f>
        <v>3.9381443298969572</v>
      </c>
      <c r="F54" s="34">
        <f>IF(OR(K51&lt;=0,L51&lt;=0),"NM",L51/K51-1)</f>
        <v>0.26181558765828417</v>
      </c>
      <c r="G54" s="34">
        <f>IF(OR(K46&lt;=0,L46&lt;=0),"NM",L46/K46-1)</f>
        <v>8.715675057208836</v>
      </c>
      <c r="H54" s="2"/>
      <c r="I54" s="2" t="s">
        <v>78</v>
      </c>
      <c r="J54" s="25">
        <f>J37</f>
        <v>72.7</v>
      </c>
      <c r="K54" s="25">
        <f t="shared" ref="K54:O54" si="25">K37</f>
        <v>96.8</v>
      </c>
      <c r="L54" s="25">
        <f t="shared" si="25"/>
        <v>136.30000000000001</v>
      </c>
      <c r="M54" s="25">
        <f t="shared" si="25"/>
        <v>28.8</v>
      </c>
      <c r="N54" s="25">
        <f t="shared" si="25"/>
        <v>40.200000000000003</v>
      </c>
      <c r="O54" s="25">
        <f t="shared" si="25"/>
        <v>147.69999999999999</v>
      </c>
      <c r="P54" s="2"/>
      <c r="Q54" s="2" t="s">
        <v>139</v>
      </c>
      <c r="R54" s="2"/>
      <c r="S54" s="2"/>
      <c r="T54" s="2"/>
      <c r="U54" s="19">
        <f>U46</f>
        <v>0</v>
      </c>
    </row>
    <row r="55" spans="2:21" ht="14.4" thickBot="1" x14ac:dyDescent="0.3">
      <c r="B55" s="2"/>
      <c r="C55" s="2" t="s">
        <v>49</v>
      </c>
      <c r="D55" s="34">
        <f>IFERROR((L11/J11)^(1/2)-1,"NA")</f>
        <v>0.20118848609958606</v>
      </c>
      <c r="E55" s="34" t="str">
        <f>IF(OR(J38&lt;=0,L38&lt;=0),"NM",(L38/J38)^(1/2)-1)</f>
        <v>NM</v>
      </c>
      <c r="F55" s="34">
        <f>IF(OR(J51&lt;=0,L51&lt;=0),"NM",(L51/J51)^(1/2)-1)</f>
        <v>0.49323508673860683</v>
      </c>
      <c r="G55" s="34" t="str">
        <f>IF(OR(J46&lt;=0,L46&lt;=0),"NM",(L46/J46)^(1/2)-1)</f>
        <v>NM</v>
      </c>
      <c r="H55" s="2"/>
      <c r="I55" s="6" t="s">
        <v>89</v>
      </c>
      <c r="J55" s="27">
        <f>IFERROR(J54/J11,0)</f>
        <v>3.4235931245585119E-2</v>
      </c>
      <c r="K55" s="27">
        <f t="shared" ref="K55:O55" si="26">IFERROR(K54/K11,0)</f>
        <v>3.7672698968670947E-2</v>
      </c>
      <c r="L55" s="27">
        <f t="shared" si="26"/>
        <v>4.4485786089624335E-2</v>
      </c>
      <c r="M55" s="27">
        <f t="shared" si="26"/>
        <v>4.033048592634085E-2</v>
      </c>
      <c r="N55" s="27">
        <f t="shared" si="26"/>
        <v>4.5629965947786608E-2</v>
      </c>
      <c r="O55" s="27">
        <f t="shared" si="26"/>
        <v>4.5716231273987863E-2</v>
      </c>
      <c r="P55" s="2"/>
      <c r="Q55" s="14" t="s">
        <v>18</v>
      </c>
      <c r="R55" s="2"/>
      <c r="S55" s="2"/>
      <c r="T55" s="2"/>
      <c r="U55" s="39">
        <f>U50+U53+U54</f>
        <v>52.5</v>
      </c>
    </row>
    <row r="56" spans="2:21" ht="14.4" thickTop="1" x14ac:dyDescent="0.25">
      <c r="B56" s="2"/>
      <c r="C56" s="38" t="s">
        <v>50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2:21" x14ac:dyDescent="0.25">
      <c r="B57" s="2"/>
      <c r="C57" s="2" t="s">
        <v>48</v>
      </c>
      <c r="D57" s="34">
        <f>IFERROR(E34/L11-1,"NM")</f>
        <v>0.20891674010248362</v>
      </c>
      <c r="E57" s="30" t="s">
        <v>9</v>
      </c>
      <c r="F57" s="30" t="s">
        <v>9</v>
      </c>
      <c r="G57" s="30" t="s">
        <v>9</v>
      </c>
      <c r="H57" s="2"/>
      <c r="I57" s="7" t="s">
        <v>90</v>
      </c>
      <c r="J57" s="7"/>
      <c r="K57" s="7"/>
      <c r="L57" s="7"/>
      <c r="M57" s="7"/>
      <c r="N57" s="7"/>
      <c r="O57" s="7"/>
      <c r="P57" s="40"/>
      <c r="Q57" s="40"/>
      <c r="R57" s="40"/>
      <c r="S57" s="40"/>
      <c r="T57" s="40"/>
      <c r="U57" s="40"/>
    </row>
    <row r="58" spans="2:21" x14ac:dyDescent="0.25">
      <c r="B58" s="2"/>
      <c r="C58" s="2" t="s">
        <v>49</v>
      </c>
      <c r="D58" s="30" t="s">
        <v>9</v>
      </c>
      <c r="E58" s="30" t="s">
        <v>9</v>
      </c>
      <c r="F58" s="30" t="s">
        <v>9</v>
      </c>
      <c r="G58" s="30" t="s">
        <v>9</v>
      </c>
      <c r="H58" s="2"/>
      <c r="I58" s="2" t="s">
        <v>91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2:21" x14ac:dyDescent="0.25">
      <c r="B59" s="2"/>
      <c r="C59" s="2" t="s">
        <v>51</v>
      </c>
      <c r="D59" s="30" t="s">
        <v>9</v>
      </c>
      <c r="E59" s="30" t="s">
        <v>9</v>
      </c>
      <c r="F59" s="30" t="s">
        <v>9</v>
      </c>
      <c r="G59" s="30" t="s">
        <v>9</v>
      </c>
      <c r="H59" s="2"/>
      <c r="I59" s="2" t="s">
        <v>92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2:2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2:2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2:2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2:2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2:2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2:2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2:2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2:2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2:2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2:2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2:2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2:2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2:2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2:2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2:2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2:2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2:2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2:2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2:2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2:2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2:2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2:2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2:2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2:2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2:2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2:2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2:2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2:2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2:2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2:2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2:2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2:2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2:2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2:2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2:2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2:2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2:2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2:2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2:2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2:2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2:2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2:2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2:2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2:2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2:2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2:2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2:2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2:2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2:2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2:2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2:2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2:2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2:2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2:2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2:2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2:2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2:2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2:2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2:2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2:2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2:2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2:2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2:2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2:2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2:2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2:2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2:2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2:2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2:2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2:2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2:2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2:2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2:2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2:2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2:2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2:2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2:2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2:2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2:2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2:2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2:2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2:2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2:2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2:2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2:2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2:2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2:2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2:2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2:2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2:2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2:2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2:2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2:2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2:2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2:2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2:2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2:2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2:2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2:2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2:2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2:2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2:2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2:2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2:2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2:2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2:2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2:2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2:2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2:2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2:2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2:2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2:2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2:2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2:2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2:2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2:2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2:2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2:2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2:2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2:2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2:2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2:2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2:2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2:2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2:2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2:2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2:2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2:2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2:2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2:2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2:2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2:2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2:2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2:2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2:2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2:2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2:2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2:2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2:2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2:2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2:2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2:2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2:2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</sheetData>
  <printOptions horizontalCentered="1"/>
  <pageMargins left="0.5" right="0.5" top="0.6" bottom="0.6" header="0.3" footer="0.3"/>
  <pageSetup scale="47" fitToHeight="0" orientation="landscape" r:id="rId1"/>
  <headerFooter>
    <oddHeader>&amp;L&amp;"Times New Roman"&amp;9 Adobe Inc. (ADBE) — Trading Comparables&amp;R&amp;"Times New Roman"&amp;9&amp;A</oddHeader>
    <oddFooter>&amp;L&amp;"Times New Roman"&amp;8 Confidential&amp;C&amp;"Times New Roman"&amp;8 Page &amp;P of &amp;N&amp;R&amp;"Times New Roman"&amp;8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Cover Page</vt:lpstr>
      <vt:lpstr>Output Page</vt:lpstr>
      <vt:lpstr>Benchmarking</vt:lpstr>
      <vt:lpstr>Valuation</vt:lpstr>
      <vt:lpstr>Input Page-ADBE</vt:lpstr>
      <vt:lpstr>Input Page-ADSK</vt:lpstr>
      <vt:lpstr>Input Page-FIG</vt:lpstr>
      <vt:lpstr>Input Page-CRM</vt:lpstr>
      <vt:lpstr>Input Page-HUBS</vt:lpstr>
      <vt:lpstr>Input Page-DOCU</vt:lpstr>
      <vt:lpstr>Input Page-DBX</vt:lpstr>
      <vt:lpstr>NM_Cap</vt:lpstr>
      <vt:lpstr>Benchmarking!Print_Area</vt:lpstr>
      <vt:lpstr>'Cover Page'!Print_Area</vt:lpstr>
      <vt:lpstr>'Input Page-ADBE'!Print_Area</vt:lpstr>
      <vt:lpstr>'Input Page-ADSK'!Print_Area</vt:lpstr>
      <vt:lpstr>'Input Page-CRM'!Print_Area</vt:lpstr>
      <vt:lpstr>'Input Page-DBX'!Print_Area</vt:lpstr>
      <vt:lpstr>'Input Page-DOCU'!Print_Area</vt:lpstr>
      <vt:lpstr>'Input Page-FIG'!Print_Area</vt:lpstr>
      <vt:lpstr>'Input Page-HUBS'!Print_Area</vt:lpstr>
      <vt:lpstr>'Output Page'!Print_Area</vt:lpstr>
      <vt:lpstr>Valuation!Print_Area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Devansh Wadhwani</dc:creator>
  <cp:lastModifiedBy>Devansh Wadhwani</cp:lastModifiedBy>
  <cp:lastPrinted>2026-07-09T13:00:58Z</cp:lastPrinted>
  <dcterms:created xsi:type="dcterms:W3CDTF">2026-07-08T10:32:46Z</dcterms:created>
  <dcterms:modified xsi:type="dcterms:W3CDTF">2026-07-09T13:01:19Z</dcterms:modified>
</cp:coreProperties>
</file>