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309cbd7fb6392cad/Desktop/"/>
    </mc:Choice>
  </mc:AlternateContent>
  <xr:revisionPtr revIDLastSave="134" documentId="13_ncr:1_{6F421F76-7042-4086-BA31-2EF7FB47747E}" xr6:coauthVersionLast="47" xr6:coauthVersionMax="47" xr10:uidLastSave="{872193A9-6F5E-41F1-874D-87AC71C1F909}"/>
  <bookViews>
    <workbookView xWindow="-93" yWindow="-93" windowWidth="25786" windowHeight="15466" firstSheet="1" activeTab="4" xr2:uid="{00000000-000D-0000-FFFF-FFFF00000000}"/>
  </bookViews>
  <sheets>
    <sheet name="Cover Page" sheetId="7" r:id="rId1"/>
    <sheet name="Passive_Portfolio" sheetId="8" r:id="rId2"/>
    <sheet name="Active_Portfolio" sheetId="5" r:id="rId3"/>
    <sheet name="Information Ratio &amp; Allocation" sheetId="2" r:id="rId4"/>
    <sheet name="Final_Portfolio" sheetId="4" r:id="rId5"/>
    <sheet name="NSE Data" sheetId="6" r:id="rId6"/>
    <sheet name="Regression_Outputs" sheetId="3" r:id="rId7"/>
  </sheets>
  <definedNames>
    <definedName name="_xlnm._FilterDatabase" localSheetId="2" hidden="1">Active_Portfolio!$A$2:$J$22</definedName>
    <definedName name="_xlnm._FilterDatabase" localSheetId="1" hidden="1">Passive_Portfolio!$A$2:$K$52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E23" i="3"/>
  <c r="E3" i="3"/>
  <c r="J3" i="5" l="1"/>
  <c r="I3" i="5"/>
  <c r="E3" i="5"/>
  <c r="K3" i="8"/>
  <c r="H3" i="8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25" i="4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8" i="8"/>
  <c r="K26" i="8"/>
  <c r="K27" i="8"/>
  <c r="K30" i="8"/>
  <c r="K29" i="8"/>
  <c r="K31" i="8"/>
  <c r="K32" i="8"/>
  <c r="K33" i="8"/>
  <c r="K34" i="8"/>
  <c r="K36" i="8"/>
  <c r="K35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E17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25" i="4"/>
  <c r="B9" i="4"/>
  <c r="B10" i="4"/>
  <c r="A14" i="4"/>
  <c r="B14" i="4"/>
  <c r="A17" i="4"/>
  <c r="B17" i="4"/>
  <c r="B20" i="2"/>
  <c r="B21" i="2" s="1"/>
  <c r="A28" i="3"/>
  <c r="A29" i="3"/>
  <c r="D29" i="3" s="1"/>
  <c r="A30" i="3"/>
  <c r="B30" i="3" s="1"/>
  <c r="A31" i="3"/>
  <c r="A32" i="3"/>
  <c r="C32" i="3" s="1"/>
  <c r="A33" i="3"/>
  <c r="B33" i="3" s="1"/>
  <c r="A34" i="3"/>
  <c r="B34" i="3" s="1"/>
  <c r="A35" i="3"/>
  <c r="B35" i="3" s="1"/>
  <c r="A36" i="3"/>
  <c r="B36" i="3" s="1"/>
  <c r="A37" i="3"/>
  <c r="C37" i="3" s="1"/>
  <c r="A5" i="2"/>
  <c r="A9" i="4" s="1"/>
  <c r="B5" i="2"/>
  <c r="A6" i="2"/>
  <c r="A10" i="4" s="1"/>
  <c r="B6" i="2"/>
  <c r="A7" i="2"/>
  <c r="A11" i="4" s="1"/>
  <c r="B7" i="2"/>
  <c r="B11" i="4" s="1"/>
  <c r="A8" i="2"/>
  <c r="A12" i="4" s="1"/>
  <c r="B8" i="2"/>
  <c r="B12" i="4" s="1"/>
  <c r="A9" i="2"/>
  <c r="A13" i="4" s="1"/>
  <c r="B9" i="2"/>
  <c r="B13" i="4" s="1"/>
  <c r="A10" i="2"/>
  <c r="B10" i="2"/>
  <c r="A11" i="2"/>
  <c r="A15" i="4" s="1"/>
  <c r="B11" i="2"/>
  <c r="B15" i="4" s="1"/>
  <c r="A12" i="2"/>
  <c r="A16" i="4" s="1"/>
  <c r="B12" i="2"/>
  <c r="B16" i="4" s="1"/>
  <c r="A13" i="2"/>
  <c r="B13" i="2"/>
  <c r="B4" i="2"/>
  <c r="B8" i="4" s="1"/>
  <c r="A4" i="2"/>
  <c r="A8" i="4" s="1"/>
  <c r="G53" i="8"/>
  <c r="H4" i="8" s="1"/>
  <c r="B4" i="3"/>
  <c r="B5" i="3"/>
  <c r="B6" i="3"/>
  <c r="B7" i="3"/>
  <c r="B8" i="3"/>
  <c r="B9" i="3"/>
  <c r="B10" i="3"/>
  <c r="B11" i="3"/>
  <c r="B12" i="3"/>
  <c r="B13" i="3"/>
  <c r="B14" i="3"/>
  <c r="E14" i="3" s="1"/>
  <c r="B15" i="3"/>
  <c r="B16" i="3"/>
  <c r="E16" i="3" s="1"/>
  <c r="B17" i="3"/>
  <c r="E17" i="3" s="1"/>
  <c r="B18" i="3"/>
  <c r="E18" i="3" s="1"/>
  <c r="B19" i="3"/>
  <c r="E19" i="3" s="1"/>
  <c r="B20" i="3"/>
  <c r="E20" i="3" s="1"/>
  <c r="B21" i="3"/>
  <c r="E21" i="3" s="1"/>
  <c r="B22" i="3"/>
  <c r="B3" i="3"/>
  <c r="E4" i="3"/>
  <c r="E5" i="3"/>
  <c r="E6" i="3"/>
  <c r="E7" i="3"/>
  <c r="E8" i="3"/>
  <c r="E9" i="3"/>
  <c r="E10" i="3"/>
  <c r="E11" i="3"/>
  <c r="E12" i="3"/>
  <c r="E13" i="3"/>
  <c r="E15" i="3"/>
  <c r="E22" i="3"/>
  <c r="D30" i="3" l="1"/>
  <c r="C30" i="3"/>
  <c r="H35" i="8"/>
  <c r="H34" i="8"/>
  <c r="H16" i="8"/>
  <c r="H10" i="8"/>
  <c r="H9" i="8"/>
  <c r="H36" i="8"/>
  <c r="H33" i="8"/>
  <c r="D36" i="3"/>
  <c r="E36" i="3" s="1"/>
  <c r="C36" i="3"/>
  <c r="C29" i="3"/>
  <c r="B29" i="3"/>
  <c r="E29" i="3" s="1"/>
  <c r="D32" i="3"/>
  <c r="F8" i="2" s="1"/>
  <c r="B32" i="3"/>
  <c r="E32" i="3" s="1"/>
  <c r="B37" i="3"/>
  <c r="E37" i="3" s="1"/>
  <c r="D35" i="3"/>
  <c r="C35" i="3"/>
  <c r="D34" i="3"/>
  <c r="E34" i="3" s="1"/>
  <c r="C34" i="3"/>
  <c r="D33" i="3"/>
  <c r="F9" i="2" s="1"/>
  <c r="C33" i="3"/>
  <c r="E30" i="3"/>
  <c r="D37" i="3"/>
  <c r="E33" i="3"/>
  <c r="E35" i="3"/>
  <c r="D31" i="3"/>
  <c r="F7" i="2" s="1"/>
  <c r="C31" i="3"/>
  <c r="B31" i="3"/>
  <c r="C10" i="2"/>
  <c r="C9" i="2"/>
  <c r="C13" i="2"/>
  <c r="F13" i="2"/>
  <c r="C12" i="2"/>
  <c r="C11" i="2"/>
  <c r="F11" i="2"/>
  <c r="D28" i="3"/>
  <c r="C28" i="3"/>
  <c r="F6" i="2"/>
  <c r="B28" i="3"/>
  <c r="C4" i="2" s="1"/>
  <c r="F5" i="2"/>
  <c r="F20" i="3"/>
  <c r="H48" i="8"/>
  <c r="H27" i="8"/>
  <c r="H8" i="8"/>
  <c r="H47" i="8"/>
  <c r="H26" i="8"/>
  <c r="H7" i="8"/>
  <c r="H46" i="8"/>
  <c r="H28" i="8"/>
  <c r="H6" i="8"/>
  <c r="H45" i="8"/>
  <c r="H25" i="8"/>
  <c r="H5" i="8"/>
  <c r="H44" i="8"/>
  <c r="H24" i="8"/>
  <c r="H43" i="8"/>
  <c r="H23" i="8"/>
  <c r="H42" i="8"/>
  <c r="H22" i="8"/>
  <c r="H41" i="8"/>
  <c r="H21" i="8"/>
  <c r="H40" i="8"/>
  <c r="H20" i="8"/>
  <c r="H39" i="8"/>
  <c r="H19" i="8"/>
  <c r="H38" i="8"/>
  <c r="H18" i="8"/>
  <c r="H37" i="8"/>
  <c r="H17" i="8"/>
  <c r="H15" i="8"/>
  <c r="H14" i="8"/>
  <c r="H11" i="8"/>
  <c r="H13" i="8"/>
  <c r="H52" i="8"/>
  <c r="H32" i="8"/>
  <c r="H12" i="8"/>
  <c r="H51" i="8"/>
  <c r="H31" i="8"/>
  <c r="H50" i="8"/>
  <c r="H29" i="8"/>
  <c r="H49" i="8"/>
  <c r="H30" i="8"/>
  <c r="F12" i="2" l="1"/>
  <c r="F10" i="2"/>
  <c r="C6" i="2"/>
  <c r="C8" i="2"/>
  <c r="C5" i="2"/>
  <c r="E31" i="3"/>
  <c r="E28" i="3"/>
  <c r="C7" i="2"/>
  <c r="F4" i="2"/>
  <c r="F16" i="3"/>
  <c r="F22" i="3"/>
  <c r="F12" i="3"/>
  <c r="F21" i="3"/>
  <c r="F6" i="3"/>
  <c r="F4" i="3"/>
  <c r="F11" i="3"/>
  <c r="F5" i="3"/>
  <c r="F9" i="3"/>
  <c r="F7" i="3"/>
  <c r="F10" i="3"/>
  <c r="F8" i="3"/>
  <c r="F17" i="3"/>
  <c r="F18" i="3"/>
  <c r="F19" i="3"/>
  <c r="F13" i="3"/>
  <c r="F14" i="3"/>
  <c r="F15" i="3"/>
  <c r="E38" i="3" l="1"/>
  <c r="F28" i="3" s="1"/>
  <c r="D4" i="2" s="1"/>
  <c r="B33" i="5"/>
  <c r="C33" i="5"/>
  <c r="D33" i="5"/>
  <c r="E33" i="5"/>
  <c r="E8" i="4" s="1"/>
  <c r="F33" i="5"/>
  <c r="G33" i="5"/>
  <c r="H33" i="5"/>
  <c r="B34" i="5"/>
  <c r="C34" i="5"/>
  <c r="D34" i="5"/>
  <c r="F34" i="5"/>
  <c r="G34" i="5"/>
  <c r="H34" i="5"/>
  <c r="B35" i="5"/>
  <c r="C35" i="5"/>
  <c r="D35" i="5"/>
  <c r="E35" i="5"/>
  <c r="E10" i="4" s="1"/>
  <c r="F35" i="5"/>
  <c r="G35" i="5"/>
  <c r="H35" i="5"/>
  <c r="I35" i="5"/>
  <c r="B36" i="5"/>
  <c r="C36" i="5"/>
  <c r="D36" i="5"/>
  <c r="F36" i="5"/>
  <c r="G36" i="5"/>
  <c r="H36" i="5"/>
  <c r="B37" i="5"/>
  <c r="C37" i="5"/>
  <c r="D37" i="5"/>
  <c r="F37" i="5"/>
  <c r="G37" i="5"/>
  <c r="H37" i="5"/>
  <c r="B38" i="5"/>
  <c r="C38" i="5"/>
  <c r="D38" i="5"/>
  <c r="F38" i="5"/>
  <c r="G38" i="5"/>
  <c r="H38" i="5"/>
  <c r="B39" i="5"/>
  <c r="C39" i="5"/>
  <c r="D39" i="5"/>
  <c r="E39" i="5"/>
  <c r="E14" i="4" s="1"/>
  <c r="F39" i="5"/>
  <c r="G39" i="5"/>
  <c r="H39" i="5"/>
  <c r="B40" i="5"/>
  <c r="C40" i="5"/>
  <c r="D40" i="5"/>
  <c r="F40" i="5"/>
  <c r="G40" i="5"/>
  <c r="H40" i="5"/>
  <c r="B41" i="5"/>
  <c r="C41" i="5"/>
  <c r="D41" i="5"/>
  <c r="F41" i="5"/>
  <c r="G41" i="5"/>
  <c r="H41" i="5"/>
  <c r="I41" i="5"/>
  <c r="B42" i="5"/>
  <c r="C42" i="5"/>
  <c r="D42" i="5"/>
  <c r="E42" i="5"/>
  <c r="F42" i="5"/>
  <c r="G42" i="5"/>
  <c r="H42" i="5"/>
  <c r="I21" i="5"/>
  <c r="I5" i="5"/>
  <c r="I20" i="5"/>
  <c r="I14" i="5"/>
  <c r="I15" i="5"/>
  <c r="I40" i="5"/>
  <c r="I10" i="5"/>
  <c r="I16" i="5"/>
  <c r="I9" i="5"/>
  <c r="I13" i="5"/>
  <c r="I22" i="5"/>
  <c r="I12" i="5"/>
  <c r="I17" i="5"/>
  <c r="I11" i="5"/>
  <c r="I7" i="5"/>
  <c r="I6" i="5"/>
  <c r="I4" i="5"/>
  <c r="I19" i="5"/>
  <c r="I18" i="5"/>
  <c r="E21" i="5"/>
  <c r="E5" i="5"/>
  <c r="E20" i="5"/>
  <c r="E14" i="5"/>
  <c r="E15" i="5"/>
  <c r="E37" i="5"/>
  <c r="E12" i="4" s="1"/>
  <c r="E10" i="5"/>
  <c r="E16" i="5"/>
  <c r="E9" i="5"/>
  <c r="E13" i="5"/>
  <c r="E22" i="5"/>
  <c r="E12" i="5"/>
  <c r="E17" i="5"/>
  <c r="E11" i="5"/>
  <c r="E7" i="5"/>
  <c r="E6" i="5"/>
  <c r="E4" i="5"/>
  <c r="E19" i="5"/>
  <c r="E18" i="5"/>
  <c r="I8" i="5"/>
  <c r="E8" i="5"/>
  <c r="J8" i="5" s="1"/>
  <c r="F34" i="3" l="1"/>
  <c r="G34" i="3" s="1"/>
  <c r="F33" i="3"/>
  <c r="G33" i="3" s="1"/>
  <c r="F32" i="3"/>
  <c r="F31" i="3"/>
  <c r="G31" i="3" s="1"/>
  <c r="F30" i="3"/>
  <c r="G30" i="3" s="1"/>
  <c r="F29" i="3"/>
  <c r="G29" i="3" s="1"/>
  <c r="F37" i="3"/>
  <c r="G37" i="3" s="1"/>
  <c r="F36" i="3"/>
  <c r="F35" i="3"/>
  <c r="G35" i="3" s="1"/>
  <c r="G28" i="3"/>
  <c r="D12" i="2"/>
  <c r="G36" i="3"/>
  <c r="D11" i="2"/>
  <c r="G4" i="2"/>
  <c r="H4" i="2" s="1"/>
  <c r="E4" i="2"/>
  <c r="I37" i="5"/>
  <c r="J21" i="5"/>
  <c r="I39" i="5"/>
  <c r="E41" i="5"/>
  <c r="E16" i="4" s="1"/>
  <c r="J15" i="5"/>
  <c r="I42" i="5"/>
  <c r="E38" i="5"/>
  <c r="E13" i="4" s="1"/>
  <c r="J9" i="5"/>
  <c r="I38" i="5"/>
  <c r="J5" i="5"/>
  <c r="I33" i="5"/>
  <c r="J16" i="5"/>
  <c r="I34" i="5"/>
  <c r="I36" i="5"/>
  <c r="E34" i="5"/>
  <c r="E9" i="4" s="1"/>
  <c r="E36" i="5"/>
  <c r="E11" i="4" s="1"/>
  <c r="E40" i="5"/>
  <c r="E15" i="4" s="1"/>
  <c r="J20" i="5"/>
  <c r="J18" i="5"/>
  <c r="J19" i="5"/>
  <c r="J4" i="5"/>
  <c r="J6" i="5"/>
  <c r="J7" i="5"/>
  <c r="J11" i="5"/>
  <c r="J17" i="5"/>
  <c r="J12" i="5"/>
  <c r="J22" i="5"/>
  <c r="J13" i="5"/>
  <c r="J10" i="5"/>
  <c r="J14" i="5"/>
  <c r="D13" i="2" l="1"/>
  <c r="E13" i="2" s="1"/>
  <c r="D10" i="2"/>
  <c r="E10" i="2" s="1"/>
  <c r="D9" i="2"/>
  <c r="E9" i="2" s="1"/>
  <c r="D7" i="2"/>
  <c r="E7" i="2" s="1"/>
  <c r="D6" i="2"/>
  <c r="E6" i="2" s="1"/>
  <c r="D8" i="2"/>
  <c r="G8" i="2" s="1"/>
  <c r="H8" i="2" s="1"/>
  <c r="E12" i="2"/>
  <c r="G32" i="3"/>
  <c r="G38" i="3" s="1"/>
  <c r="B22" i="2" s="1"/>
  <c r="G11" i="2"/>
  <c r="H11" i="2" s="1"/>
  <c r="D5" i="2"/>
  <c r="E5" i="2" s="1"/>
  <c r="G12" i="2"/>
  <c r="H12" i="2" s="1"/>
  <c r="E11" i="2"/>
  <c r="J41" i="5"/>
  <c r="J39" i="5"/>
  <c r="J35" i="5"/>
  <c r="J42" i="5"/>
  <c r="J40" i="5"/>
  <c r="J36" i="5"/>
  <c r="J34" i="5"/>
  <c r="J37" i="5"/>
  <c r="J33" i="5"/>
  <c r="J38" i="5"/>
  <c r="G13" i="2" l="1"/>
  <c r="H13" i="2" s="1"/>
  <c r="G10" i="2"/>
  <c r="H10" i="2" s="1"/>
  <c r="G9" i="2"/>
  <c r="H9" i="2" s="1"/>
  <c r="G7" i="2"/>
  <c r="H7" i="2" s="1"/>
  <c r="G6" i="2"/>
  <c r="H6" i="2" s="1"/>
  <c r="E8" i="2"/>
  <c r="E14" i="2" s="1"/>
  <c r="G5" i="2"/>
  <c r="H5" i="2" s="1"/>
  <c r="H15" i="2" l="1"/>
  <c r="B23" i="2"/>
  <c r="B24" i="2" s="1"/>
  <c r="I16" i="2"/>
  <c r="C8" i="4" l="1"/>
  <c r="C12" i="4"/>
  <c r="C13" i="4"/>
  <c r="C10" i="4"/>
  <c r="C16" i="4"/>
  <c r="C17" i="4"/>
  <c r="C15" i="4"/>
  <c r="C14" i="4"/>
  <c r="C11" i="4"/>
  <c r="C9" i="4"/>
  <c r="F21" i="2"/>
  <c r="A6" i="4" s="1"/>
  <c r="A5" i="4"/>
  <c r="B25" i="2"/>
  <c r="F11" i="4" l="1"/>
  <c r="D11" i="4"/>
  <c r="D14" i="4"/>
  <c r="F14" i="4"/>
  <c r="F9" i="4"/>
  <c r="D9" i="4"/>
  <c r="D15" i="4"/>
  <c r="F15" i="4"/>
  <c r="F23" i="2"/>
  <c r="A23" i="4" s="1"/>
  <c r="A22" i="4"/>
  <c r="C26" i="4"/>
  <c r="C25" i="4"/>
  <c r="C72" i="4"/>
  <c r="C44" i="4"/>
  <c r="C71" i="4"/>
  <c r="C31" i="4"/>
  <c r="C43" i="4"/>
  <c r="C64" i="4"/>
  <c r="C32" i="4"/>
  <c r="C70" i="4"/>
  <c r="C56" i="4"/>
  <c r="C55" i="4"/>
  <c r="C54" i="4"/>
  <c r="C52" i="4"/>
  <c r="C65" i="4"/>
  <c r="C63" i="4"/>
  <c r="C35" i="4"/>
  <c r="C33" i="4"/>
  <c r="C74" i="4"/>
  <c r="C36" i="4"/>
  <c r="C47" i="4"/>
  <c r="C29" i="4"/>
  <c r="C69" i="4"/>
  <c r="C42" i="4"/>
  <c r="C48" i="4"/>
  <c r="C51" i="4"/>
  <c r="C68" i="4"/>
  <c r="C53" i="4"/>
  <c r="C73" i="4"/>
  <c r="C38" i="4"/>
  <c r="C50" i="4"/>
  <c r="C34" i="4"/>
  <c r="C58" i="4"/>
  <c r="C45" i="4"/>
  <c r="C57" i="4"/>
  <c r="C40" i="4"/>
  <c r="C66" i="4"/>
  <c r="C27" i="4"/>
  <c r="C46" i="4"/>
  <c r="C60" i="4"/>
  <c r="C37" i="4"/>
  <c r="C41" i="4"/>
  <c r="C67" i="4"/>
  <c r="C49" i="4"/>
  <c r="C39" i="4"/>
  <c r="C61" i="4"/>
  <c r="C28" i="4"/>
  <c r="C59" i="4"/>
  <c r="C30" i="4"/>
  <c r="C62" i="4"/>
  <c r="F17" i="4"/>
  <c r="D17" i="4"/>
  <c r="D16" i="4"/>
  <c r="F16" i="4"/>
  <c r="F10" i="4"/>
  <c r="D10" i="4"/>
  <c r="D13" i="4"/>
  <c r="F13" i="4"/>
  <c r="D12" i="4"/>
  <c r="F12" i="4"/>
  <c r="F8" i="4"/>
  <c r="C18" i="4"/>
  <c r="D8" i="4"/>
  <c r="D38" i="4" l="1"/>
  <c r="F38" i="4"/>
  <c r="D73" i="4"/>
  <c r="F73" i="4"/>
  <c r="D64" i="4"/>
  <c r="F64" i="4"/>
  <c r="F43" i="4"/>
  <c r="D43" i="4"/>
  <c r="D31" i="4"/>
  <c r="F31" i="4"/>
  <c r="D71" i="4"/>
  <c r="F71" i="4"/>
  <c r="D42" i="4"/>
  <c r="F42" i="4"/>
  <c r="D18" i="4"/>
  <c r="D67" i="4"/>
  <c r="F67" i="4"/>
  <c r="D72" i="4"/>
  <c r="F72" i="4"/>
  <c r="D41" i="4"/>
  <c r="F41" i="4"/>
  <c r="D29" i="4"/>
  <c r="F29" i="4"/>
  <c r="F25" i="4"/>
  <c r="D25" i="4"/>
  <c r="C75" i="4"/>
  <c r="D47" i="4"/>
  <c r="F47" i="4"/>
  <c r="F60" i="4"/>
  <c r="D60" i="4"/>
  <c r="D27" i="4"/>
  <c r="F27" i="4"/>
  <c r="D33" i="4"/>
  <c r="F33" i="4"/>
  <c r="D70" i="4"/>
  <c r="F70" i="4"/>
  <c r="D32" i="4"/>
  <c r="F32" i="4"/>
  <c r="D59" i="4"/>
  <c r="F59" i="4"/>
  <c r="D68" i="4"/>
  <c r="F68" i="4"/>
  <c r="F61" i="4"/>
  <c r="D61" i="4"/>
  <c r="D48" i="4"/>
  <c r="F48" i="4"/>
  <c r="D49" i="4"/>
  <c r="F49" i="4"/>
  <c r="D44" i="4"/>
  <c r="F44" i="4"/>
  <c r="D69" i="4"/>
  <c r="F69" i="4"/>
  <c r="F19" i="4"/>
  <c r="D37" i="4"/>
  <c r="F37" i="4"/>
  <c r="F26" i="4"/>
  <c r="D26" i="4"/>
  <c r="D36" i="4"/>
  <c r="F36" i="4"/>
  <c r="D46" i="4"/>
  <c r="F46" i="4"/>
  <c r="D74" i="4"/>
  <c r="F74" i="4"/>
  <c r="D66" i="4"/>
  <c r="F66" i="4"/>
  <c r="D35" i="4"/>
  <c r="F35" i="4"/>
  <c r="D30" i="4"/>
  <c r="F30" i="4"/>
  <c r="D28" i="4"/>
  <c r="F28" i="4"/>
  <c r="D39" i="4"/>
  <c r="F39" i="4"/>
  <c r="D40" i="4"/>
  <c r="F40" i="4"/>
  <c r="F57" i="4"/>
  <c r="D57" i="4"/>
  <c r="D52" i="4"/>
  <c r="F52" i="4"/>
  <c r="D58" i="4"/>
  <c r="F58" i="4"/>
  <c r="D34" i="4"/>
  <c r="F34" i="4"/>
  <c r="F62" i="4"/>
  <c r="D62" i="4"/>
  <c r="D53" i="4"/>
  <c r="F53" i="4"/>
  <c r="D51" i="4"/>
  <c r="F51" i="4"/>
  <c r="D63" i="4"/>
  <c r="F63" i="4"/>
  <c r="D65" i="4"/>
  <c r="F65" i="4"/>
  <c r="D45" i="4"/>
  <c r="F45" i="4"/>
  <c r="D54" i="4"/>
  <c r="F54" i="4"/>
  <c r="D55" i="4"/>
  <c r="F55" i="4"/>
  <c r="D50" i="4"/>
  <c r="F50" i="4"/>
  <c r="D56" i="4"/>
  <c r="F56" i="4"/>
  <c r="D75" i="4" l="1"/>
  <c r="F76" i="4"/>
  <c r="F78" i="4" s="1"/>
</calcChain>
</file>

<file path=xl/sharedStrings.xml><?xml version="1.0" encoding="utf-8"?>
<sst xmlns="http://schemas.openxmlformats.org/spreadsheetml/2006/main" count="472" uniqueCount="300">
  <si>
    <t>Stock</t>
  </si>
  <si>
    <t>Alpha (α)</t>
  </si>
  <si>
    <t>Beta (β)</t>
  </si>
  <si>
    <t>Residual Variance (σ²e)</t>
  </si>
  <si>
    <t>Alpha/σ²e</t>
  </si>
  <si>
    <t>Active Weight (wi^A)</t>
  </si>
  <si>
    <t>Current Price</t>
  </si>
  <si>
    <t>Target Price</t>
  </si>
  <si>
    <t>Expected Return (E[Ri])</t>
  </si>
  <si>
    <t>Market Return (E[Rm])</t>
  </si>
  <si>
    <t>Risk-Free (Rf)</t>
  </si>
  <si>
    <t>CAPM Return</t>
  </si>
  <si>
    <t>Alpha (α = E[Ri] - CAPM)</t>
  </si>
  <si>
    <t>Sector</t>
  </si>
  <si>
    <t>Software &amp; IT Services</t>
  </si>
  <si>
    <t>Finance</t>
  </si>
  <si>
    <t>Power</t>
  </si>
  <si>
    <t>Automobile &amp; Ancillaries</t>
  </si>
  <si>
    <t>Capital Goods</t>
  </si>
  <si>
    <t>All prices as of 23/08</t>
  </si>
  <si>
    <t>Alcohol</t>
  </si>
  <si>
    <t>Industrial Gases &amp; Fuels</t>
  </si>
  <si>
    <t>FMCG</t>
  </si>
  <si>
    <t>Agri</t>
  </si>
  <si>
    <t>Real Estate</t>
  </si>
  <si>
    <t>Sunteck Realty Ltd.</t>
  </si>
  <si>
    <t>Anant Raj Ltd.</t>
  </si>
  <si>
    <t>Avanti Feeds Ltd.</t>
  </si>
  <si>
    <t>AWL Agri Business Ltd.</t>
  </si>
  <si>
    <t>Emami Ltd.</t>
  </si>
  <si>
    <t>Cyient Ltd.</t>
  </si>
  <si>
    <t>Cyient DLM Ltd.</t>
  </si>
  <si>
    <t>HCL Technologies Ltd.</t>
  </si>
  <si>
    <t>United Spirits Ltd.</t>
  </si>
  <si>
    <t>Gujarat Gas Ltd.</t>
  </si>
  <si>
    <t>Oracle Financial Services Software Ltd.</t>
  </si>
  <si>
    <t>REC Ltd.</t>
  </si>
  <si>
    <t>Birlasoft Ltd.</t>
  </si>
  <si>
    <t>Angel One Ltd.</t>
  </si>
  <si>
    <t>Tata Motors Ltd.</t>
  </si>
  <si>
    <t>JSW Energy Ltd.</t>
  </si>
  <si>
    <t>Latent View Analytics Ltd.</t>
  </si>
  <si>
    <t>NIIT Learning Systems Ltd.</t>
  </si>
  <si>
    <t>Tata Power Company Ltd.</t>
  </si>
  <si>
    <t>5Paisa Capital Ltd.</t>
  </si>
  <si>
    <t>Rm= Nifty 50 5 year CAGR</t>
  </si>
  <si>
    <t>Current Price fetched from MoneyControl</t>
  </si>
  <si>
    <t>Target Price fetched from Trendyline</t>
  </si>
  <si>
    <t xml:space="preserve">Beta= 5 year Average Beta </t>
  </si>
  <si>
    <t>Rf=RBI 91-day T-Bill Annualized Return</t>
  </si>
  <si>
    <t>Active Portfolio</t>
  </si>
  <si>
    <t>Mispriced Stocks</t>
  </si>
  <si>
    <t>Nifty 50</t>
  </si>
  <si>
    <t>Latent View Analytics</t>
  </si>
  <si>
    <t>NIIT Learning Systems</t>
  </si>
  <si>
    <t>Oracle Financial Servi</t>
  </si>
  <si>
    <t>Tata Power Company Ltd</t>
  </si>
  <si>
    <t>TCS</t>
  </si>
  <si>
    <t>ONGC</t>
  </si>
  <si>
    <t>INE075A01022</t>
  </si>
  <si>
    <t>EQ</t>
  </si>
  <si>
    <t>WIPRO</t>
  </si>
  <si>
    <t>Information Technology</t>
  </si>
  <si>
    <t>Wipro Ltd.</t>
  </si>
  <si>
    <t>INE481G01011</t>
  </si>
  <si>
    <t>ULTRACEMCO</t>
  </si>
  <si>
    <t>Construction Materials</t>
  </si>
  <si>
    <t>UltraTech Cement Ltd.</t>
  </si>
  <si>
    <t>INE849A01020</t>
  </si>
  <si>
    <t>TRENT</t>
  </si>
  <si>
    <t>Consumer Services</t>
  </si>
  <si>
    <t>Trent Ltd.</t>
  </si>
  <si>
    <t>INE280A01028</t>
  </si>
  <si>
    <t>TITAN</t>
  </si>
  <si>
    <t>Consumer Durables</t>
  </si>
  <si>
    <t>Titan Company Ltd.</t>
  </si>
  <si>
    <t>INE669C01036</t>
  </si>
  <si>
    <t>TECHM</t>
  </si>
  <si>
    <t>Tech Mahindra Ltd.</t>
  </si>
  <si>
    <t>INE081A01020</t>
  </si>
  <si>
    <t>TATASTEEL</t>
  </si>
  <si>
    <t>Metals &amp; Mining</t>
  </si>
  <si>
    <t>Tata Steel Ltd.</t>
  </si>
  <si>
    <t>INE155A01022</t>
  </si>
  <si>
    <t>TATAMOTORS</t>
  </si>
  <si>
    <t>Automobile and Auto Components</t>
  </si>
  <si>
    <t>INE192A01025</t>
  </si>
  <si>
    <t>TATACONSUM</t>
  </si>
  <si>
    <t>Fast Moving Consumer Goods</t>
  </si>
  <si>
    <t>Tata Consumer Products Ltd.</t>
  </si>
  <si>
    <t>INE467B01029</t>
  </si>
  <si>
    <t>Tata Consultancy Services Ltd.</t>
  </si>
  <si>
    <t>INE044A01036</t>
  </si>
  <si>
    <t>SUNPHARMA</t>
  </si>
  <si>
    <t>Healthcare</t>
  </si>
  <si>
    <t>Sun Pharmaceutical Industries Ltd.</t>
  </si>
  <si>
    <t>INE062A01020</t>
  </si>
  <si>
    <t>SBIN</t>
  </si>
  <si>
    <t>Financial Services</t>
  </si>
  <si>
    <t>State Bank of India</t>
  </si>
  <si>
    <t>INE721A01047</t>
  </si>
  <si>
    <t>SHRIRAMFIN</t>
  </si>
  <si>
    <t>Shriram Finance Ltd.</t>
  </si>
  <si>
    <t>INE123W01016</t>
  </si>
  <si>
    <t>SBILIFE</t>
  </si>
  <si>
    <t>SBI Life Insurance Company Ltd.</t>
  </si>
  <si>
    <t>INE002A01018</t>
  </si>
  <si>
    <t>RELIANCE</t>
  </si>
  <si>
    <t>Oil Gas &amp; Consumable Fuels</t>
  </si>
  <si>
    <t>Reliance Industries Ltd.</t>
  </si>
  <si>
    <t>INE752E01010</t>
  </si>
  <si>
    <t>POWERGRID</t>
  </si>
  <si>
    <t>Power Grid Corporation of India Ltd.</t>
  </si>
  <si>
    <t>INE213A01029</t>
  </si>
  <si>
    <t>Oil &amp; Natural Gas Corporation Ltd.</t>
  </si>
  <si>
    <t>INE239A01024</t>
  </si>
  <si>
    <t>NESTLEIND</t>
  </si>
  <si>
    <t>Nestle India Ltd.</t>
  </si>
  <si>
    <t>INE733E01010</t>
  </si>
  <si>
    <t>NTPC</t>
  </si>
  <si>
    <t>NTPC Ltd.</t>
  </si>
  <si>
    <t>INE585B01010</t>
  </si>
  <si>
    <t>MARUTI</t>
  </si>
  <si>
    <t>Maruti Suzuki India Ltd.</t>
  </si>
  <si>
    <t>INE101A01026</t>
  </si>
  <si>
    <t>M&amp;M</t>
  </si>
  <si>
    <t>Mahindra &amp; Mahindra Ltd.</t>
  </si>
  <si>
    <t>INE018A01030</t>
  </si>
  <si>
    <t>LT</t>
  </si>
  <si>
    <t>Construction</t>
  </si>
  <si>
    <t>Larsen &amp; Toubro Ltd.</t>
  </si>
  <si>
    <t>INE237A01028</t>
  </si>
  <si>
    <t>KOTAKBANK</t>
  </si>
  <si>
    <t>Kotak Mahindra Bank Ltd.</t>
  </si>
  <si>
    <t>INE758E01017</t>
  </si>
  <si>
    <t>JIOFIN</t>
  </si>
  <si>
    <t>Jio Financial Services Ltd.</t>
  </si>
  <si>
    <t>INE019A01038</t>
  </si>
  <si>
    <t>JSWSTEEL</t>
  </si>
  <si>
    <t>JSW Steel Ltd.</t>
  </si>
  <si>
    <t>INE009A01021</t>
  </si>
  <si>
    <t>INFY</t>
  </si>
  <si>
    <t>Infosys Ltd.</t>
  </si>
  <si>
    <t>INE095A01012</t>
  </si>
  <si>
    <t>INDUSINDBK</t>
  </si>
  <si>
    <t>IndusInd Bank Ltd.</t>
  </si>
  <si>
    <t>INE154A01025</t>
  </si>
  <si>
    <t>ITC</t>
  </si>
  <si>
    <t>ITC Ltd.</t>
  </si>
  <si>
    <t>INE090A01021</t>
  </si>
  <si>
    <t>ICICIBANK</t>
  </si>
  <si>
    <t>ICICI Bank Ltd.</t>
  </si>
  <si>
    <t>INE030A01027</t>
  </si>
  <si>
    <t>HINDUNILVR</t>
  </si>
  <si>
    <t>Hindustan Unilever Ltd.</t>
  </si>
  <si>
    <t>INE038A01020</t>
  </si>
  <si>
    <t>HINDALCO</t>
  </si>
  <si>
    <t>Hindalco Industries Ltd.</t>
  </si>
  <si>
    <t>INE158A01026</t>
  </si>
  <si>
    <t>HEROMOTOCO</t>
  </si>
  <si>
    <t>Hero MotoCorp Ltd.</t>
  </si>
  <si>
    <t>INE795G01014</t>
  </si>
  <si>
    <t>HDFCLIFE</t>
  </si>
  <si>
    <t>HDFC Life Insurance Company Ltd.</t>
  </si>
  <si>
    <t>INE040A01034</t>
  </si>
  <si>
    <t>HDFCBANK</t>
  </si>
  <si>
    <t>HDFC Bank Ltd.</t>
  </si>
  <si>
    <t>INE860A01027</t>
  </si>
  <si>
    <t>HCLTECH</t>
  </si>
  <si>
    <t>INE047A01021</t>
  </si>
  <si>
    <t>GRASIM</t>
  </si>
  <si>
    <t>Grasim Industries Ltd.</t>
  </si>
  <si>
    <t>INE758T01015</t>
  </si>
  <si>
    <t>ETERNAL</t>
  </si>
  <si>
    <t>Eternal Ltd.</t>
  </si>
  <si>
    <t>INE066A01021</t>
  </si>
  <si>
    <t>EICHERMOT</t>
  </si>
  <si>
    <t>Eicher Motors Ltd.</t>
  </si>
  <si>
    <t>INE089A01031</t>
  </si>
  <si>
    <t>DRREDDY</t>
  </si>
  <si>
    <t>Dr. Reddy's Laboratories Ltd.</t>
  </si>
  <si>
    <t>INE522F01014</t>
  </si>
  <si>
    <t>COALINDIA</t>
  </si>
  <si>
    <t>Coal India Ltd.</t>
  </si>
  <si>
    <t>INE059A01026</t>
  </si>
  <si>
    <t>CIPLA</t>
  </si>
  <si>
    <t>Cipla Ltd.</t>
  </si>
  <si>
    <t>INE397D01024</t>
  </si>
  <si>
    <t>BHARTIARTL</t>
  </si>
  <si>
    <t>Telecommunication</t>
  </si>
  <si>
    <t>Bharti Airtel Ltd.</t>
  </si>
  <si>
    <t>INE263A01024</t>
  </si>
  <si>
    <t>BEL</t>
  </si>
  <si>
    <t>Bharat Electronics Ltd.</t>
  </si>
  <si>
    <t>INE918I01026</t>
  </si>
  <si>
    <t>BAJAJFINSV</t>
  </si>
  <si>
    <t>Bajaj Finserv Ltd.</t>
  </si>
  <si>
    <t>INE296A01032</t>
  </si>
  <si>
    <t>BAJFINANCE</t>
  </si>
  <si>
    <t>Bajaj Finance Ltd.</t>
  </si>
  <si>
    <t>INE917I01010</t>
  </si>
  <si>
    <t>BAJAJ-AUTO</t>
  </si>
  <si>
    <t>Bajaj Auto Ltd.</t>
  </si>
  <si>
    <t>INE238A01034</t>
  </si>
  <si>
    <t>AXISBANK</t>
  </si>
  <si>
    <t>Axis Bank Ltd.</t>
  </si>
  <si>
    <t>INE021A01026</t>
  </si>
  <si>
    <t>ASIANPAINT</t>
  </si>
  <si>
    <t>Asian Paints Ltd.</t>
  </si>
  <si>
    <t>INE437A01024</t>
  </si>
  <si>
    <t>APOLLOHOSP</t>
  </si>
  <si>
    <t>Apollo Hospitals Enterprise Ltd.</t>
  </si>
  <si>
    <t>INE742F01042</t>
  </si>
  <si>
    <t>ADANIPORTS</t>
  </si>
  <si>
    <t>Services</t>
  </si>
  <si>
    <t>Adani Ports and Special Economic Zone Ltd.</t>
  </si>
  <si>
    <t>INE423A01024</t>
  </si>
  <si>
    <t>ADANIENT</t>
  </si>
  <si>
    <t>Adani Enterprises Ltd.</t>
  </si>
  <si>
    <t>Market Cap.</t>
  </si>
  <si>
    <t>LTP</t>
  </si>
  <si>
    <t>ISIN Code</t>
  </si>
  <si>
    <t>Series</t>
  </si>
  <si>
    <t>Symbol</t>
  </si>
  <si>
    <t>Industry</t>
  </si>
  <si>
    <t>Company Name</t>
  </si>
  <si>
    <t>Weights</t>
  </si>
  <si>
    <t>Passive Portfolio</t>
  </si>
  <si>
    <t>Regression Inputs</t>
  </si>
  <si>
    <t>Information Ratio</t>
  </si>
  <si>
    <t>Alpha (𝛼)</t>
  </si>
  <si>
    <t>(wi^A*𝛼)</t>
  </si>
  <si>
    <t>𝛼^A</t>
  </si>
  <si>
    <t>(wi^A)^2</t>
  </si>
  <si>
    <t>((wi^A)^2)*σ²e</t>
  </si>
  <si>
    <t>σ²eA</t>
  </si>
  <si>
    <t>IR^A=𝛼^A/σ²eA</t>
  </si>
  <si>
    <t>Allocation</t>
  </si>
  <si>
    <t>Source: NSE</t>
  </si>
  <si>
    <t>σm = Standard Deviation of Nifty 50 (5 year)</t>
  </si>
  <si>
    <t>σ²m = Variance of Nifty 50​</t>
  </si>
  <si>
    <t>Active Regression Inputs</t>
  </si>
  <si>
    <t>wP = (1 - wA)</t>
  </si>
  <si>
    <t>IR^A=𝛼^A/σeA</t>
  </si>
  <si>
    <t>Sharpem​ =​ (Rm​−Rf)​​/σ²m</t>
  </si>
  <si>
    <t>w0​ = (αA​/σ²eA)​​/Sharpem​</t>
  </si>
  <si>
    <t>wA​ = w0/1+(1-βA(w0))</t>
  </si>
  <si>
    <t>βA</t>
  </si>
  <si>
    <t>βi*wi^A</t>
  </si>
  <si>
    <t>Final Portfolio</t>
  </si>
  <si>
    <t>Portfolio Details</t>
  </si>
  <si>
    <t>Asset Under Management(AUM)</t>
  </si>
  <si>
    <t xml:space="preserve">Active Portfolio </t>
  </si>
  <si>
    <t>Asset Under Management - Rs. 100 Crores</t>
  </si>
  <si>
    <t>Amount Invested</t>
  </si>
  <si>
    <t>Total</t>
  </si>
  <si>
    <t>Expected Return [Ri]</t>
  </si>
  <si>
    <t>Expected Return [RiP]</t>
  </si>
  <si>
    <t>Weight (wA)</t>
  </si>
  <si>
    <t>Weight (wP)</t>
  </si>
  <si>
    <t>RA=wA*RiA</t>
  </si>
  <si>
    <t>Expected Return [RiA]</t>
  </si>
  <si>
    <t>RP=wP*RiP</t>
  </si>
  <si>
    <t>RA</t>
  </si>
  <si>
    <t>RP</t>
  </si>
  <si>
    <t>Rp=wA.RA+wP.RP</t>
  </si>
  <si>
    <t>You choose the stock, we make your portfolio strong.</t>
  </si>
  <si>
    <t>Investment Analysis &amp; Portfolio Management</t>
  </si>
  <si>
    <t>THE TREYNOR - BLACK MODEL</t>
  </si>
  <si>
    <t>Excess Returns = (Monthly Returns - Risk Free Rate (Rf))</t>
  </si>
  <si>
    <r>
      <t xml:space="preserve">By </t>
    </r>
    <r>
      <rPr>
        <b/>
        <i/>
        <sz val="14"/>
        <color theme="0"/>
        <rFont val="Times New Roman"/>
        <family val="1"/>
      </rPr>
      <t>Group 9</t>
    </r>
    <r>
      <rPr>
        <i/>
        <sz val="14"/>
        <color theme="0"/>
        <rFont val="Times New Roman"/>
        <family val="1"/>
      </rPr>
      <t>: Satvik Bhartiya (A013), Aaditya Shah (A020), Mahi Nair (A030), Divyansh Maheshwari (A052), Devansh Wadhwani (A061)</t>
    </r>
  </si>
  <si>
    <r>
      <t xml:space="preserve">Building you a </t>
    </r>
    <r>
      <rPr>
        <b/>
        <sz val="34"/>
        <color theme="0"/>
        <rFont val="Times New Roman"/>
        <family val="1"/>
      </rPr>
      <t>Rs. 100 Cr. Portfolio</t>
    </r>
    <r>
      <rPr>
        <sz val="34"/>
        <color theme="0"/>
        <rFont val="Times New Roman"/>
        <family val="1"/>
      </rPr>
      <t xml:space="preserve"> using two different strategies, in one model.</t>
    </r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</si>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</sst>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₹&quot;\ * #,##0_ ;_ &quot;₹&quot;\ * \-#,##0_ ;_ &quot;₹&quot;\ * &quot;-&quot;_ ;_ @_ "/>
    <numFmt numFmtId="44" formatCode="_ &quot;₹&quot;\ * #,##0.00_ ;_ &quot;₹&quot;\ * \-#,##0.00_ ;_ &quot;₹&quot;\ * &quot;-&quot;??_ ;_ @_ "/>
    <numFmt numFmtId="164" formatCode="0.000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i/>
      <sz val="11"/>
      <color theme="1"/>
      <name val="Times New Roman"/>
      <family val="1"/>
    </font>
    <font>
      <b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3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4"/>
      <color theme="0"/>
      <name val="Times New Roman"/>
      <family val="1"/>
    </font>
    <font>
      <b/>
      <i/>
      <sz val="11"/>
      <color theme="1"/>
      <name val="Times New Roman"/>
      <family val="1"/>
    </font>
    <font>
      <b/>
      <sz val="14"/>
      <name val="Times New Roman"/>
      <family val="1"/>
    </font>
    <font>
      <sz val="36"/>
      <color theme="0" tint="-0.1499984740745262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26"/>
      <color theme="0"/>
      <name val="Times New Roman"/>
      <family val="1"/>
    </font>
    <font>
      <sz val="36"/>
      <color theme="0"/>
      <name val="Times New Roman"/>
      <family val="1"/>
    </font>
    <font>
      <i/>
      <sz val="14"/>
      <color theme="0"/>
      <name val="Times New Roman"/>
      <family val="1"/>
    </font>
    <font>
      <b/>
      <i/>
      <sz val="14"/>
      <color theme="0"/>
      <name val="Times New Roman"/>
      <family val="1"/>
    </font>
    <font>
      <sz val="34"/>
      <color theme="0"/>
      <name val="Times New Roman"/>
      <family val="1"/>
    </font>
    <font>
      <b/>
      <sz val="34"/>
      <color theme="0"/>
      <name val="Times New Roman"/>
      <family val="1"/>
    </font>
    <font>
      <sz val="36"/>
      <color theme="0"/>
      <name val="Montserrat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9" tint="-0.249977111117893"/>
      </right>
      <top/>
      <bottom style="thin">
        <color indexed="64"/>
      </bottom>
      <diagonal/>
    </border>
    <border>
      <left style="medium">
        <color theme="9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medium">
        <color indexed="64"/>
      </right>
      <top style="thin">
        <color indexed="64"/>
      </top>
      <bottom style="medium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medium">
        <color indexed="64"/>
      </left>
      <right style="medium">
        <color theme="9" tint="-0.249977111117893"/>
      </right>
      <top style="thin">
        <color indexed="64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indexed="64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medium">
        <color indexed="64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 style="dashed">
        <color theme="9" tint="-0.249977111117893"/>
      </right>
      <top/>
      <bottom/>
      <diagonal/>
    </border>
    <border>
      <left style="dashed">
        <color theme="9" tint="-0.249977111117893"/>
      </left>
      <right/>
      <top style="dashed">
        <color theme="9" tint="-0.249977111117893"/>
      </top>
      <bottom/>
      <diagonal/>
    </border>
    <border>
      <left/>
      <right style="dashed">
        <color theme="9" tint="-0.249977111117893"/>
      </right>
      <top style="dashed">
        <color theme="9" tint="-0.249977111117893"/>
      </top>
      <bottom/>
      <diagonal/>
    </border>
    <border>
      <left style="dashed">
        <color theme="9" tint="-0.249977111117893"/>
      </left>
      <right/>
      <top/>
      <bottom/>
      <diagonal/>
    </border>
    <border>
      <left style="dashed">
        <color theme="9" tint="-0.249977111117893"/>
      </left>
      <right/>
      <top/>
      <bottom style="dashed">
        <color theme="9" tint="-0.249977111117893"/>
      </bottom>
      <diagonal/>
    </border>
    <border>
      <left/>
      <right style="dashed">
        <color theme="9" tint="-0.249977111117893"/>
      </right>
      <top/>
      <bottom style="dashed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indexed="64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dotted">
        <color theme="9" tint="-0.249977111117893"/>
      </left>
      <right style="dotted">
        <color theme="9" tint="-0.249977111117893"/>
      </right>
      <top style="dotted">
        <color theme="9" tint="-0.249977111117893"/>
      </top>
      <bottom style="dotted">
        <color theme="9" tint="-0.249977111117893"/>
      </bottom>
      <diagonal/>
    </border>
    <border>
      <left style="medium">
        <color theme="9" tint="-0.249977111117893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medium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medium">
        <color theme="9" tint="-0.249977111117893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indexed="64"/>
      </bottom>
      <diagonal/>
    </border>
    <border>
      <left style="medium">
        <color theme="9" tint="-0.249977111117893"/>
      </left>
      <right style="medium">
        <color indexed="64"/>
      </right>
      <top style="medium">
        <color theme="9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theme="9" tint="-0.249977111117893"/>
      </top>
      <bottom style="medium">
        <color indexed="64"/>
      </bottom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 style="medium">
        <color theme="9" tint="-0.249977111117893"/>
      </bottom>
      <diagonal/>
    </border>
    <border>
      <left/>
      <right style="thin">
        <color theme="8" tint="0.59999389629810485"/>
      </right>
      <top/>
      <bottom style="medium">
        <color theme="9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3" fillId="0" borderId="7" xfId="0" applyFont="1" applyBorder="1"/>
    <xf numFmtId="42" fontId="3" fillId="0" borderId="3" xfId="0" applyNumberFormat="1" applyFont="1" applyBorder="1"/>
    <xf numFmtId="42" fontId="3" fillId="0" borderId="2" xfId="0" applyNumberFormat="1" applyFont="1" applyBorder="1"/>
    <xf numFmtId="10" fontId="3" fillId="0" borderId="7" xfId="1" applyNumberFormat="1" applyFont="1" applyBorder="1"/>
    <xf numFmtId="0" fontId="3" fillId="0" borderId="3" xfId="0" applyFont="1" applyBorder="1"/>
    <xf numFmtId="10" fontId="3" fillId="0" borderId="6" xfId="1" applyNumberFormat="1" applyFont="1" applyBorder="1"/>
    <xf numFmtId="10" fontId="3" fillId="0" borderId="2" xfId="1" applyNumberFormat="1" applyFont="1" applyBorder="1"/>
    <xf numFmtId="10" fontId="3" fillId="0" borderId="7" xfId="0" applyNumberFormat="1" applyFont="1" applyBorder="1"/>
    <xf numFmtId="2" fontId="4" fillId="0" borderId="0" xfId="0" applyNumberFormat="1" applyFont="1"/>
    <xf numFmtId="0" fontId="3" fillId="0" borderId="8" xfId="0" applyFont="1" applyBorder="1"/>
    <xf numFmtId="42" fontId="3" fillId="0" borderId="5" xfId="0" applyNumberFormat="1" applyFont="1" applyBorder="1"/>
    <xf numFmtId="42" fontId="3" fillId="0" borderId="4" xfId="0" applyNumberFormat="1" applyFont="1" applyBorder="1"/>
    <xf numFmtId="10" fontId="3" fillId="0" borderId="8" xfId="1" applyNumberFormat="1" applyFont="1" applyBorder="1"/>
    <xf numFmtId="0" fontId="3" fillId="0" borderId="5" xfId="0" applyFont="1" applyBorder="1"/>
    <xf numFmtId="10" fontId="3" fillId="0" borderId="1" xfId="1" applyNumberFormat="1" applyFont="1" applyBorder="1"/>
    <xf numFmtId="10" fontId="3" fillId="0" borderId="4" xfId="1" applyNumberFormat="1" applyFont="1" applyBorder="1"/>
    <xf numFmtId="10" fontId="3" fillId="0" borderId="8" xfId="0" applyNumberFormat="1" applyFont="1" applyBorder="1"/>
    <xf numFmtId="0" fontId="5" fillId="0" borderId="0" xfId="0" applyFont="1"/>
    <xf numFmtId="0" fontId="3" fillId="0" borderId="11" xfId="0" applyFont="1" applyBorder="1"/>
    <xf numFmtId="10" fontId="3" fillId="0" borderId="12" xfId="1" applyNumberFormat="1" applyFont="1" applyBorder="1"/>
    <xf numFmtId="0" fontId="3" fillId="0" borderId="13" xfId="0" applyFont="1" applyBorder="1"/>
    <xf numFmtId="10" fontId="3" fillId="0" borderId="14" xfId="1" applyNumberFormat="1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10" fontId="3" fillId="0" borderId="16" xfId="1" applyNumberFormat="1" applyFont="1" applyBorder="1"/>
    <xf numFmtId="10" fontId="3" fillId="0" borderId="19" xfId="1" applyNumberFormat="1" applyFont="1" applyBorder="1"/>
    <xf numFmtId="10" fontId="3" fillId="0" borderId="18" xfId="1" applyNumberFormat="1" applyFont="1" applyBorder="1"/>
    <xf numFmtId="10" fontId="3" fillId="0" borderId="20" xfId="1" applyNumberFormat="1" applyFont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10" fontId="3" fillId="0" borderId="12" xfId="0" applyNumberFormat="1" applyFont="1" applyBorder="1"/>
    <xf numFmtId="10" fontId="3" fillId="0" borderId="14" xfId="0" applyNumberFormat="1" applyFont="1" applyBorder="1"/>
    <xf numFmtId="42" fontId="3" fillId="0" borderId="17" xfId="0" applyNumberFormat="1" applyFont="1" applyBorder="1"/>
    <xf numFmtId="42" fontId="3" fillId="0" borderId="18" xfId="0" applyNumberFormat="1" applyFont="1" applyBorder="1"/>
    <xf numFmtId="10" fontId="3" fillId="0" borderId="16" xfId="0" applyNumberFormat="1" applyFont="1" applyBorder="1"/>
    <xf numFmtId="10" fontId="3" fillId="0" borderId="20" xfId="0" applyNumberFormat="1" applyFont="1" applyBorder="1"/>
    <xf numFmtId="0" fontId="6" fillId="2" borderId="27" xfId="0" applyFont="1" applyFill="1" applyBorder="1" applyAlignment="1">
      <alignment horizontal="centerContinuous"/>
    </xf>
    <xf numFmtId="0" fontId="4" fillId="2" borderId="28" xfId="0" applyFont="1" applyFill="1" applyBorder="1" applyAlignment="1">
      <alignment horizontal="centerContinuous"/>
    </xf>
    <xf numFmtId="0" fontId="4" fillId="2" borderId="29" xfId="0" applyFont="1" applyFill="1" applyBorder="1" applyAlignment="1">
      <alignment horizontal="centerContinuous"/>
    </xf>
    <xf numFmtId="0" fontId="2" fillId="2" borderId="3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3" fillId="0" borderId="39" xfId="0" applyFont="1" applyBorder="1"/>
    <xf numFmtId="0" fontId="5" fillId="0" borderId="40" xfId="0" applyFont="1" applyBorder="1"/>
    <xf numFmtId="0" fontId="3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3" fillId="0" borderId="44" xfId="0" applyFont="1" applyBorder="1"/>
    <xf numFmtId="10" fontId="3" fillId="0" borderId="0" xfId="0" applyNumberFormat="1" applyFont="1"/>
    <xf numFmtId="0" fontId="7" fillId="2" borderId="27" xfId="0" applyFont="1" applyFill="1" applyBorder="1"/>
    <xf numFmtId="2" fontId="4" fillId="0" borderId="0" xfId="1" applyNumberFormat="1" applyFont="1"/>
    <xf numFmtId="2" fontId="3" fillId="0" borderId="1" xfId="0" applyNumberFormat="1" applyFont="1" applyBorder="1"/>
    <xf numFmtId="10" fontId="3" fillId="0" borderId="5" xfId="1" applyNumberFormat="1" applyFont="1" applyBorder="1"/>
    <xf numFmtId="2" fontId="3" fillId="0" borderId="4" xfId="1" applyNumberFormat="1" applyFont="1" applyBorder="1"/>
    <xf numFmtId="10" fontId="3" fillId="0" borderId="17" xfId="1" applyNumberFormat="1" applyFont="1" applyBorder="1"/>
    <xf numFmtId="2" fontId="3" fillId="0" borderId="19" xfId="0" applyNumberFormat="1" applyFont="1" applyBorder="1"/>
    <xf numFmtId="2" fontId="3" fillId="0" borderId="18" xfId="1" applyNumberFormat="1" applyFont="1" applyBorder="1"/>
    <xf numFmtId="10" fontId="3" fillId="0" borderId="3" xfId="1" applyNumberFormat="1" applyFont="1" applyBorder="1"/>
    <xf numFmtId="2" fontId="3" fillId="0" borderId="6" xfId="0" applyNumberFormat="1" applyFont="1" applyBorder="1"/>
    <xf numFmtId="2" fontId="3" fillId="0" borderId="2" xfId="1" applyNumberFormat="1" applyFont="1" applyBorder="1"/>
    <xf numFmtId="0" fontId="2" fillId="2" borderId="28" xfId="0" applyFont="1" applyFill="1" applyBorder="1"/>
    <xf numFmtId="0" fontId="2" fillId="2" borderId="10" xfId="0" applyFont="1" applyFill="1" applyBorder="1"/>
    <xf numFmtId="0" fontId="3" fillId="0" borderId="1" xfId="0" applyFont="1" applyBorder="1"/>
    <xf numFmtId="2" fontId="3" fillId="0" borderId="1" xfId="1" applyNumberFormat="1" applyFont="1" applyBorder="1"/>
    <xf numFmtId="0" fontId="3" fillId="0" borderId="9" xfId="0" applyFont="1" applyBorder="1"/>
    <xf numFmtId="0" fontId="3" fillId="0" borderId="46" xfId="0" applyFont="1" applyBorder="1"/>
    <xf numFmtId="10" fontId="3" fillId="0" borderId="32" xfId="0" applyNumberFormat="1" applyFont="1" applyBorder="1"/>
    <xf numFmtId="0" fontId="3" fillId="2" borderId="29" xfId="0" applyFont="1" applyFill="1" applyBorder="1" applyAlignment="1">
      <alignment horizontal="centerContinuous"/>
    </xf>
    <xf numFmtId="2" fontId="3" fillId="0" borderId="6" xfId="1" applyNumberFormat="1" applyFont="1" applyBorder="1"/>
    <xf numFmtId="0" fontId="2" fillId="2" borderId="29" xfId="0" applyFont="1" applyFill="1" applyBorder="1"/>
    <xf numFmtId="0" fontId="3" fillId="0" borderId="53" xfId="0" applyFont="1" applyBorder="1"/>
    <xf numFmtId="10" fontId="3" fillId="0" borderId="54" xfId="1" applyNumberFormat="1" applyFont="1" applyBorder="1"/>
    <xf numFmtId="2" fontId="3" fillId="0" borderId="55" xfId="0" applyNumberFormat="1" applyFont="1" applyBorder="1"/>
    <xf numFmtId="10" fontId="3" fillId="0" borderId="55" xfId="1" applyNumberFormat="1" applyFont="1" applyBorder="1"/>
    <xf numFmtId="2" fontId="3" fillId="0" borderId="55" xfId="1" applyNumberFormat="1" applyFont="1" applyBorder="1"/>
    <xf numFmtId="0" fontId="3" fillId="0" borderId="28" xfId="0" applyFont="1" applyBorder="1"/>
    <xf numFmtId="10" fontId="3" fillId="0" borderId="56" xfId="1" applyNumberFormat="1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50" xfId="0" applyFont="1" applyBorder="1"/>
    <xf numFmtId="0" fontId="4" fillId="2" borderId="28" xfId="0" applyFont="1" applyFill="1" applyBorder="1"/>
    <xf numFmtId="10" fontId="4" fillId="2" borderId="28" xfId="0" applyNumberFormat="1" applyFont="1" applyFill="1" applyBorder="1"/>
    <xf numFmtId="0" fontId="4" fillId="2" borderId="10" xfId="0" applyFont="1" applyFill="1" applyBorder="1"/>
    <xf numFmtId="2" fontId="8" fillId="2" borderId="28" xfId="0" applyNumberFormat="1" applyFont="1" applyFill="1" applyBorder="1"/>
    <xf numFmtId="0" fontId="9" fillId="2" borderId="27" xfId="0" applyFont="1" applyFill="1" applyBorder="1" applyAlignment="1">
      <alignment horizontal="centerContinuous"/>
    </xf>
    <xf numFmtId="10" fontId="3" fillId="0" borderId="47" xfId="1" applyNumberFormat="1" applyFont="1" applyBorder="1"/>
    <xf numFmtId="164" fontId="3" fillId="0" borderId="47" xfId="0" applyNumberFormat="1" applyFont="1" applyBorder="1"/>
    <xf numFmtId="10" fontId="3" fillId="0" borderId="48" xfId="1" applyNumberFormat="1" applyFont="1" applyBorder="1"/>
    <xf numFmtId="164" fontId="3" fillId="0" borderId="48" xfId="0" applyNumberFormat="1" applyFont="1" applyBorder="1"/>
    <xf numFmtId="0" fontId="2" fillId="2" borderId="37" xfId="0" applyFont="1" applyFill="1" applyBorder="1"/>
    <xf numFmtId="0" fontId="4" fillId="2" borderId="32" xfId="0" applyFont="1" applyFill="1" applyBorder="1"/>
    <xf numFmtId="10" fontId="2" fillId="2" borderId="49" xfId="0" applyNumberFormat="1" applyFont="1" applyFill="1" applyBorder="1"/>
    <xf numFmtId="0" fontId="4" fillId="2" borderId="49" xfId="0" applyFont="1" applyFill="1" applyBorder="1"/>
    <xf numFmtId="0" fontId="4" fillId="2" borderId="51" xfId="0" applyFont="1" applyFill="1" applyBorder="1"/>
    <xf numFmtId="0" fontId="2" fillId="2" borderId="27" xfId="0" applyFont="1" applyFill="1" applyBorder="1"/>
    <xf numFmtId="164" fontId="2" fillId="2" borderId="10" xfId="0" applyNumberFormat="1" applyFont="1" applyFill="1" applyBorder="1"/>
    <xf numFmtId="0" fontId="3" fillId="0" borderId="35" xfId="0" applyFont="1" applyBorder="1"/>
    <xf numFmtId="9" fontId="3" fillId="0" borderId="36" xfId="0" applyNumberFormat="1" applyFont="1" applyBorder="1"/>
    <xf numFmtId="10" fontId="3" fillId="0" borderId="36" xfId="1" applyNumberFormat="1" applyFont="1" applyBorder="1"/>
    <xf numFmtId="2" fontId="3" fillId="0" borderId="36" xfId="1" applyNumberFormat="1" applyFont="1" applyBorder="1"/>
    <xf numFmtId="0" fontId="3" fillId="0" borderId="27" xfId="0" applyFont="1" applyBorder="1"/>
    <xf numFmtId="2" fontId="3" fillId="0" borderId="29" xfId="1" applyNumberFormat="1" applyFont="1" applyBorder="1"/>
    <xf numFmtId="0" fontId="10" fillId="0" borderId="27" xfId="0" applyFont="1" applyBorder="1"/>
    <xf numFmtId="10" fontId="10" fillId="0" borderId="29" xfId="1" applyNumberFormat="1" applyFont="1" applyBorder="1"/>
    <xf numFmtId="0" fontId="3" fillId="0" borderId="6" xfId="0" applyFont="1" applyBorder="1"/>
    <xf numFmtId="4" fontId="3" fillId="0" borderId="6" xfId="0" applyNumberFormat="1" applyFont="1" applyBorder="1"/>
    <xf numFmtId="0" fontId="3" fillId="0" borderId="2" xfId="0" applyFont="1" applyBorder="1"/>
    <xf numFmtId="4" fontId="3" fillId="0" borderId="1" xfId="0" applyNumberFormat="1" applyFont="1" applyBorder="1"/>
    <xf numFmtId="0" fontId="3" fillId="0" borderId="4" xfId="0" applyFont="1" applyBorder="1"/>
    <xf numFmtId="4" fontId="3" fillId="0" borderId="4" xfId="0" applyNumberFormat="1" applyFont="1" applyBorder="1"/>
    <xf numFmtId="0" fontId="3" fillId="0" borderId="19" xfId="0" applyFont="1" applyBorder="1"/>
    <xf numFmtId="0" fontId="3" fillId="0" borderId="18" xfId="0" applyFont="1" applyBorder="1"/>
    <xf numFmtId="0" fontId="4" fillId="0" borderId="0" xfId="0" applyFont="1"/>
    <xf numFmtId="0" fontId="11" fillId="2" borderId="28" xfId="0" applyFont="1" applyFill="1" applyBorder="1" applyAlignment="1">
      <alignment horizontal="centerContinuous"/>
    </xf>
    <xf numFmtId="0" fontId="11" fillId="2" borderId="29" xfId="0" applyFont="1" applyFill="1" applyBorder="1" applyAlignment="1">
      <alignment horizontal="centerContinuous"/>
    </xf>
    <xf numFmtId="10" fontId="3" fillId="0" borderId="35" xfId="0" applyNumberFormat="1" applyFont="1" applyBorder="1"/>
    <xf numFmtId="10" fontId="3" fillId="0" borderId="36" xfId="0" applyNumberFormat="1" applyFont="1" applyBorder="1"/>
    <xf numFmtId="10" fontId="3" fillId="0" borderId="37" xfId="0" applyNumberFormat="1" applyFont="1" applyBorder="1"/>
    <xf numFmtId="10" fontId="3" fillId="0" borderId="38" xfId="0" applyNumberFormat="1" applyFont="1" applyBorder="1"/>
    <xf numFmtId="10" fontId="2" fillId="2" borderId="10" xfId="1" applyNumberFormat="1" applyFont="1" applyFill="1" applyBorder="1"/>
    <xf numFmtId="0" fontId="3" fillId="0" borderId="36" xfId="0" applyFont="1" applyBorder="1"/>
    <xf numFmtId="0" fontId="6" fillId="2" borderId="28" xfId="0" applyFont="1" applyFill="1" applyBorder="1" applyAlignment="1">
      <alignment horizontal="centerContinuous"/>
    </xf>
    <xf numFmtId="0" fontId="6" fillId="2" borderId="29" xfId="0" applyFont="1" applyFill="1" applyBorder="1" applyAlignment="1">
      <alignment horizontal="centerContinuous"/>
    </xf>
    <xf numFmtId="0" fontId="12" fillId="0" borderId="27" xfId="0" applyFont="1" applyBorder="1"/>
    <xf numFmtId="44" fontId="12" fillId="0" borderId="29" xfId="0" applyNumberFormat="1" applyFont="1" applyBorder="1"/>
    <xf numFmtId="42" fontId="10" fillId="0" borderId="29" xfId="0" applyNumberFormat="1" applyFont="1" applyBorder="1"/>
    <xf numFmtId="0" fontId="2" fillId="2" borderId="59" xfId="0" applyFont="1" applyFill="1" applyBorder="1"/>
    <xf numFmtId="10" fontId="3" fillId="0" borderId="60" xfId="1" applyNumberFormat="1" applyFont="1" applyBorder="1"/>
    <xf numFmtId="10" fontId="3" fillId="0" borderId="61" xfId="1" applyNumberFormat="1" applyFont="1" applyBorder="1"/>
    <xf numFmtId="10" fontId="3" fillId="0" borderId="62" xfId="1" applyNumberFormat="1" applyFont="1" applyBorder="1"/>
    <xf numFmtId="0" fontId="3" fillId="2" borderId="28" xfId="0" applyFont="1" applyFill="1" applyBorder="1" applyAlignment="1">
      <alignment horizontal="centerContinuous"/>
    </xf>
    <xf numFmtId="0" fontId="2" fillId="2" borderId="0" xfId="0" applyFont="1" applyFill="1"/>
    <xf numFmtId="0" fontId="2" fillId="2" borderId="45" xfId="0" applyFont="1" applyFill="1" applyBorder="1"/>
    <xf numFmtId="10" fontId="3" fillId="0" borderId="63" xfId="1" applyNumberFormat="1" applyFont="1" applyBorder="1"/>
    <xf numFmtId="10" fontId="3" fillId="0" borderId="64" xfId="1" applyNumberFormat="1" applyFont="1" applyBorder="1"/>
    <xf numFmtId="10" fontId="3" fillId="0" borderId="65" xfId="1" applyNumberFormat="1" applyFont="1" applyBorder="1"/>
    <xf numFmtId="10" fontId="2" fillId="2" borderId="0" xfId="0" applyNumberFormat="1" applyFont="1" applyFill="1"/>
    <xf numFmtId="0" fontId="9" fillId="2" borderId="37" xfId="0" applyFont="1" applyFill="1" applyBorder="1" applyAlignment="1">
      <alignment horizontal="centerContinuous"/>
    </xf>
    <xf numFmtId="0" fontId="4" fillId="2" borderId="32" xfId="0" applyFont="1" applyFill="1" applyBorder="1" applyAlignment="1">
      <alignment horizontal="centerContinuous"/>
    </xf>
    <xf numFmtId="0" fontId="4" fillId="2" borderId="38" xfId="0" applyFont="1" applyFill="1" applyBorder="1" applyAlignment="1">
      <alignment horizontal="centerContinuous"/>
    </xf>
    <xf numFmtId="9" fontId="9" fillId="2" borderId="37" xfId="1" applyFont="1" applyFill="1" applyBorder="1" applyAlignment="1">
      <alignment horizontal="centerContinuous"/>
    </xf>
    <xf numFmtId="0" fontId="9" fillId="2" borderId="27" xfId="1" applyNumberFormat="1" applyFont="1" applyFill="1" applyBorder="1" applyAlignment="1">
      <alignment horizontal="centerContinuous"/>
    </xf>
    <xf numFmtId="10" fontId="2" fillId="2" borderId="28" xfId="0" applyNumberFormat="1" applyFont="1" applyFill="1" applyBorder="1"/>
    <xf numFmtId="0" fontId="3" fillId="0" borderId="61" xfId="0" applyFont="1" applyBorder="1"/>
    <xf numFmtId="0" fontId="3" fillId="0" borderId="66" xfId="0" applyFont="1" applyBorder="1"/>
    <xf numFmtId="10" fontId="3" fillId="0" borderId="50" xfId="1" applyNumberFormat="1" applyFont="1" applyBorder="1"/>
    <xf numFmtId="10" fontId="2" fillId="2" borderId="10" xfId="0" applyNumberFormat="1" applyFont="1" applyFill="1" applyBorder="1"/>
    <xf numFmtId="44" fontId="3" fillId="0" borderId="48" xfId="0" applyNumberFormat="1" applyFont="1" applyBorder="1"/>
    <xf numFmtId="44" fontId="3" fillId="0" borderId="50" xfId="0" applyNumberFormat="1" applyFont="1" applyBorder="1"/>
    <xf numFmtId="44" fontId="2" fillId="2" borderId="10" xfId="0" applyNumberFormat="1" applyFont="1" applyFill="1" applyBorder="1"/>
    <xf numFmtId="0" fontId="2" fillId="2" borderId="34" xfId="0" applyFont="1" applyFill="1" applyBorder="1"/>
    <xf numFmtId="10" fontId="2" fillId="2" borderId="67" xfId="0" applyNumberFormat="1" applyFont="1" applyFill="1" applyBorder="1"/>
    <xf numFmtId="44" fontId="2" fillId="2" borderId="67" xfId="0" applyNumberFormat="1" applyFont="1" applyFill="1" applyBorder="1"/>
    <xf numFmtId="44" fontId="2" fillId="2" borderId="28" xfId="0" applyNumberFormat="1" applyFont="1" applyFill="1" applyBorder="1"/>
    <xf numFmtId="10" fontId="3" fillId="0" borderId="58" xfId="0" applyNumberFormat="1" applyFont="1" applyBorder="1"/>
    <xf numFmtId="0" fontId="2" fillId="2" borderId="51" xfId="0" applyFont="1" applyFill="1" applyBorder="1"/>
    <xf numFmtId="0" fontId="3" fillId="0" borderId="60" xfId="0" applyFont="1" applyBorder="1"/>
    <xf numFmtId="44" fontId="3" fillId="0" borderId="47" xfId="0" applyNumberFormat="1" applyFont="1" applyBorder="1"/>
    <xf numFmtId="10" fontId="3" fillId="0" borderId="57" xfId="0" applyNumberFormat="1" applyFont="1" applyBorder="1"/>
    <xf numFmtId="0" fontId="10" fillId="0" borderId="69" xfId="0" applyFont="1" applyBorder="1"/>
    <xf numFmtId="0" fontId="10" fillId="0" borderId="70" xfId="0" applyFont="1" applyBorder="1"/>
    <xf numFmtId="0" fontId="10" fillId="0" borderId="68" xfId="0" applyFont="1" applyBorder="1"/>
    <xf numFmtId="0" fontId="10" fillId="0" borderId="71" xfId="0" applyFont="1" applyBorder="1"/>
    <xf numFmtId="10" fontId="3" fillId="0" borderId="48" xfId="0" applyNumberFormat="1" applyFont="1" applyBorder="1"/>
    <xf numFmtId="0" fontId="13" fillId="0" borderId="27" xfId="0" applyFont="1" applyBorder="1"/>
    <xf numFmtId="0" fontId="13" fillId="0" borderId="28" xfId="0" applyFont="1" applyBorder="1"/>
    <xf numFmtId="10" fontId="13" fillId="0" borderId="29" xfId="0" applyNumberFormat="1" applyFont="1" applyBorder="1"/>
    <xf numFmtId="0" fontId="0" fillId="2" borderId="35" xfId="0" applyFill="1" applyBorder="1"/>
    <xf numFmtId="0" fontId="0" fillId="2" borderId="0" xfId="0" applyFill="1"/>
    <xf numFmtId="0" fontId="0" fillId="2" borderId="36" xfId="0" applyFill="1" applyBorder="1"/>
    <xf numFmtId="0" fontId="15" fillId="2" borderId="35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0" fillId="2" borderId="37" xfId="0" applyFill="1" applyBorder="1"/>
    <xf numFmtId="0" fontId="0" fillId="2" borderId="32" xfId="0" applyFill="1" applyBorder="1"/>
    <xf numFmtId="0" fontId="0" fillId="2" borderId="38" xfId="0" applyFill="1" applyBorder="1"/>
    <xf numFmtId="0" fontId="5" fillId="0" borderId="52" xfId="0" applyFont="1" applyBorder="1" applyAlignment="1">
      <alignment horizontal="center"/>
    </xf>
    <xf numFmtId="0" fontId="0" fillId="0" borderId="73" xfId="0" applyBorder="1"/>
    <xf numFmtId="0" fontId="14" fillId="2" borderId="75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76" xfId="0" applyFont="1" applyFill="1" applyBorder="1" applyAlignment="1">
      <alignment vertical="center"/>
    </xf>
    <xf numFmtId="0" fontId="0" fillId="0" borderId="79" xfId="0" applyBorder="1"/>
    <xf numFmtId="0" fontId="23" fillId="0" borderId="80" xfId="0" applyFont="1" applyBorder="1" applyAlignment="1">
      <alignment horizontal="center"/>
    </xf>
    <xf numFmtId="0" fontId="23" fillId="0" borderId="80" xfId="0" applyFont="1" applyBorder="1" applyAlignment="1">
      <alignment horizontal="centerContinuous"/>
    </xf>
    <xf numFmtId="0" fontId="16" fillId="2" borderId="27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16" fillId="2" borderId="29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18" fillId="2" borderId="75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11" fillId="2" borderId="76" xfId="0" applyFont="1" applyFill="1" applyBorder="1" applyAlignment="1">
      <alignment horizontal="center" vertical="top"/>
    </xf>
    <xf numFmtId="0" fontId="11" fillId="2" borderId="75" xfId="0" applyFont="1" applyFill="1" applyBorder="1" applyAlignment="1">
      <alignment horizontal="center" vertical="top"/>
    </xf>
    <xf numFmtId="0" fontId="11" fillId="2" borderId="77" xfId="0" applyFont="1" applyFill="1" applyBorder="1" applyAlignment="1">
      <alignment horizontal="center" vertical="top"/>
    </xf>
    <xf numFmtId="0" fontId="11" fillId="2" borderId="32" xfId="0" applyFont="1" applyFill="1" applyBorder="1" applyAlignment="1">
      <alignment horizontal="center" vertical="top"/>
    </xf>
    <xf numFmtId="0" fontId="11" fillId="2" borderId="78" xfId="0" applyFont="1" applyFill="1" applyBorder="1" applyAlignment="1">
      <alignment horizontal="center" vertical="top"/>
    </xf>
    <xf numFmtId="0" fontId="17" fillId="2" borderId="72" xfId="0" applyFont="1" applyFill="1" applyBorder="1" applyAlignment="1">
      <alignment horizontal="center" vertical="center"/>
    </xf>
    <xf numFmtId="0" fontId="17" fillId="2" borderId="73" xfId="0" applyFont="1" applyFill="1" applyBorder="1" applyAlignment="1">
      <alignment horizontal="center" vertical="center"/>
    </xf>
    <xf numFmtId="0" fontId="17" fillId="2" borderId="7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BCB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0" dropStyle="combo" dx="43" fmlaLink="$A$33" fmlaRange="$A$3:$A$22" noThreeD="1" sel="3" val="0"/>
</file>

<file path=xl/ctrlProps/ctrlProp10.xml><?xml version="1.0" encoding="utf-8"?>
<formControlPr xmlns="http://schemas.microsoft.com/office/spreadsheetml/2009/9/main" objectType="Drop" dropLines="20" dropStyle="combo" dx="43" fmlaLink="$A$42" fmlaRange="$A$3:$A$22" noThreeD="1" sel="10" val="0"/>
</file>

<file path=xl/ctrlProps/ctrlProp2.xml><?xml version="1.0" encoding="utf-8"?>
<formControlPr xmlns="http://schemas.microsoft.com/office/spreadsheetml/2009/9/main" objectType="Drop" dropLines="20" dropStyle="combo" dx="43" fmlaLink="$A$34" fmlaRange="$A$3:$A$22" noThreeD="1" sel="6" val="0"/>
</file>

<file path=xl/ctrlProps/ctrlProp3.xml><?xml version="1.0" encoding="utf-8"?>
<formControlPr xmlns="http://schemas.microsoft.com/office/spreadsheetml/2009/9/main" objectType="Drop" dropLines="20" dropStyle="combo" dx="43" fmlaLink="$A$35" fmlaRange="$A$3:$A$22" noThreeD="1" sel="12" val="2"/>
</file>

<file path=xl/ctrlProps/ctrlProp4.xml><?xml version="1.0" encoding="utf-8"?>
<formControlPr xmlns="http://schemas.microsoft.com/office/spreadsheetml/2009/9/main" objectType="Drop" dropLines="20" dropStyle="combo" dx="43" fmlaLink="$A$36" fmlaRange="$A$3:$A$22" noThreeD="1" sel="18" val="0"/>
</file>

<file path=xl/ctrlProps/ctrlProp5.xml><?xml version="1.0" encoding="utf-8"?>
<formControlPr xmlns="http://schemas.microsoft.com/office/spreadsheetml/2009/9/main" objectType="Drop" dropLines="20" dropStyle="combo" dx="43" fmlaLink="$A$37" fmlaRange="$A$3:$A$22" noThreeD="1" sel="11" val="0"/>
</file>

<file path=xl/ctrlProps/ctrlProp6.xml><?xml version="1.0" encoding="utf-8"?>
<formControlPr xmlns="http://schemas.microsoft.com/office/spreadsheetml/2009/9/main" objectType="Drop" dropLines="20" dropStyle="combo" dx="43" fmlaLink="$A$38" fmlaRange="$A$3:$A$22" noThreeD="1" sel="9" val="0"/>
</file>

<file path=xl/ctrlProps/ctrlProp7.xml><?xml version="1.0" encoding="utf-8"?>
<formControlPr xmlns="http://schemas.microsoft.com/office/spreadsheetml/2009/9/main" objectType="Drop" dropLines="20" dropStyle="combo" dx="43" fmlaLink="$A$39" fmlaRange="$A$3:$A$22" noThreeD="1" sel="15" val="0"/>
</file>

<file path=xl/ctrlProps/ctrlProp8.xml><?xml version="1.0" encoding="utf-8"?>
<formControlPr xmlns="http://schemas.microsoft.com/office/spreadsheetml/2009/9/main" objectType="Drop" dropLines="20" dropStyle="combo" dx="43" fmlaLink="$A$40" fmlaRange="$A$3:$A$22" noThreeD="1" sel="20" val="0"/>
</file>

<file path=xl/ctrlProps/ctrlProp9.xml><?xml version="1.0" encoding="utf-8"?>
<formControlPr xmlns="http://schemas.microsoft.com/office/spreadsheetml/2009/9/main" objectType="Drop" dropLines="20" dropStyle="combo" dx="43" fmlaLink="$A$41" fmlaRange="$A$3:$A$22" noThreeD="1" sel="17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8467</xdr:colOff>
          <xdr:row>33</xdr:row>
          <xdr:rowOff>8467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1</xdr:col>
          <xdr:colOff>8467</xdr:colOff>
          <xdr:row>34</xdr:row>
          <xdr:rowOff>8467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8467</xdr:colOff>
          <xdr:row>35</xdr:row>
          <xdr:rowOff>8467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182033</xdr:rowOff>
        </xdr:from>
        <xdr:to>
          <xdr:col>1</xdr:col>
          <xdr:colOff>8467</xdr:colOff>
          <xdr:row>36</xdr:row>
          <xdr:rowOff>8467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1</xdr:col>
          <xdr:colOff>8467</xdr:colOff>
          <xdr:row>37</xdr:row>
          <xdr:rowOff>8467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1</xdr:col>
          <xdr:colOff>8467</xdr:colOff>
          <xdr:row>38</xdr:row>
          <xdr:rowOff>8467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</xdr:col>
          <xdr:colOff>8467</xdr:colOff>
          <xdr:row>39</xdr:row>
          <xdr:rowOff>8467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1</xdr:col>
          <xdr:colOff>8467</xdr:colOff>
          <xdr:row>40</xdr:row>
          <xdr:rowOff>8467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182033</xdr:rowOff>
        </xdr:from>
        <xdr:to>
          <xdr:col>1</xdr:col>
          <xdr:colOff>8467</xdr:colOff>
          <xdr:row>41</xdr:row>
          <xdr:rowOff>8467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1</xdr:col>
          <xdr:colOff>8467</xdr:colOff>
          <xdr:row>42</xdr:row>
          <xdr:rowOff>8467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426D-AADE-4AC5-A040-C0D68B42EB1F}">
  <dimension ref="A1:Z28"/>
  <sheetViews>
    <sheetView showGridLines="0" zoomScale="106" zoomScaleNormal="104" workbookViewId="0">
      <selection activeCell="Y10" sqref="Y10"/>
    </sheetView>
  </sheetViews>
  <sheetFormatPr defaultRowHeight="14.35" x14ac:dyDescent="0.5"/>
  <cols>
    <col min="23" max="23" width="13" customWidth="1"/>
  </cols>
  <sheetData>
    <row r="1" spans="1:23" ht="46.35" x14ac:dyDescent="0.5">
      <c r="A1" s="207" t="s">
        <v>268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9"/>
    </row>
    <row r="2" spans="1:23" ht="14.45" customHeight="1" x14ac:dyDescent="0.5">
      <c r="A2" s="185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7"/>
    </row>
    <row r="3" spans="1:23" x14ac:dyDescent="0.5">
      <c r="A3" s="200" t="s">
        <v>270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2"/>
    </row>
    <row r="4" spans="1:23" x14ac:dyDescent="0.5">
      <c r="A4" s="203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2"/>
    </row>
    <row r="5" spans="1:23" ht="14.7" thickBot="1" x14ac:dyDescent="0.55000000000000004">
      <c r="A5" s="204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6"/>
    </row>
    <row r="6" spans="1:23" x14ac:dyDescent="0.5">
      <c r="A6" s="175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x14ac:dyDescent="0.5">
      <c r="A7" s="178"/>
      <c r="B7" s="179"/>
      <c r="C7" s="179"/>
      <c r="D7" s="179"/>
      <c r="E7" s="179"/>
      <c r="F7" s="179"/>
      <c r="G7" s="179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7"/>
    </row>
    <row r="8" spans="1:23" ht="14.7" thickBot="1" x14ac:dyDescent="0.55000000000000004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7"/>
    </row>
    <row r="9" spans="1:23" ht="43.7" thickBot="1" x14ac:dyDescent="0.55000000000000004">
      <c r="A9" s="197" t="s">
        <v>271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9"/>
    </row>
    <row r="10" spans="1:23" x14ac:dyDescent="0.5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</row>
    <row r="11" spans="1:23" x14ac:dyDescent="0.5">
      <c r="A11" s="175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7"/>
    </row>
    <row r="12" spans="1:23" x14ac:dyDescent="0.5">
      <c r="A12" s="175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7"/>
    </row>
    <row r="13" spans="1:23" x14ac:dyDescent="0.5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</row>
    <row r="14" spans="1:23" ht="14.7" thickBot="1" x14ac:dyDescent="0.55000000000000004">
      <c r="A14" s="175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7"/>
    </row>
    <row r="15" spans="1:23" ht="54.35" thickBot="1" x14ac:dyDescent="0.55000000000000004">
      <c r="A15" s="194" t="s">
        <v>266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6"/>
    </row>
    <row r="16" spans="1:23" x14ac:dyDescent="0.5">
      <c r="A16" s="175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/>
    </row>
    <row r="17" spans="1:26" x14ac:dyDescent="0.5">
      <c r="A17" s="175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7"/>
    </row>
    <row r="18" spans="1:26" x14ac:dyDescent="0.5">
      <c r="A18" s="175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7"/>
    </row>
    <row r="19" spans="1:26" x14ac:dyDescent="0.5">
      <c r="A19" s="175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7"/>
    </row>
    <row r="20" spans="1:26" ht="14.7" thickBot="1" x14ac:dyDescent="0.55000000000000004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7"/>
    </row>
    <row r="21" spans="1:26" ht="33.700000000000003" thickBot="1" x14ac:dyDescent="1.1000000000000001">
      <c r="A21" s="191" t="s">
        <v>267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3"/>
      <c r="Z21" s="184"/>
    </row>
    <row r="22" spans="1:26" x14ac:dyDescent="0.5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7"/>
    </row>
    <row r="23" spans="1:26" x14ac:dyDescent="0.5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7"/>
    </row>
    <row r="24" spans="1:26" x14ac:dyDescent="0.5">
      <c r="A24" s="175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7"/>
    </row>
    <row r="25" spans="1:26" x14ac:dyDescent="0.5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7"/>
    </row>
    <row r="26" spans="1:26" x14ac:dyDescent="0.5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7"/>
    </row>
    <row r="27" spans="1:26" x14ac:dyDescent="0.5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7"/>
    </row>
    <row r="28" spans="1:26" ht="14.7" thickBot="1" x14ac:dyDescent="0.55000000000000004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2"/>
    </row>
  </sheetData>
  <mergeCells count="5">
    <mergeCell ref="A21:W21"/>
    <mergeCell ref="A15:W15"/>
    <mergeCell ref="A9:W9"/>
    <mergeCell ref="A3:W5"/>
    <mergeCell ref="A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007F-DEA2-4D60-A7E7-4F58613598AB}">
  <dimension ref="A1:K53"/>
  <sheetViews>
    <sheetView showGridLines="0" workbookViewId="0">
      <selection activeCell="K4" sqref="K4"/>
    </sheetView>
  </sheetViews>
  <sheetFormatPr defaultColWidth="8.87890625" defaultRowHeight="14" x14ac:dyDescent="0.45"/>
  <cols>
    <col min="1" max="1" width="35.1171875" style="1" bestFit="1" customWidth="1"/>
    <col min="2" max="2" width="28.1171875" style="1" customWidth="1"/>
    <col min="3" max="3" width="12.87890625" style="1" customWidth="1"/>
    <col min="4" max="4" width="5.76171875" style="1" bestFit="1" customWidth="1"/>
    <col min="5" max="5" width="13.234375" style="1" customWidth="1"/>
    <col min="6" max="6" width="8.64453125" style="1" customWidth="1"/>
    <col min="7" max="7" width="11.3515625" style="1" bestFit="1" customWidth="1"/>
    <col min="8" max="8" width="8.87890625" style="1" customWidth="1"/>
    <col min="9" max="9" width="12.41015625" style="1" bestFit="1" customWidth="1"/>
    <col min="10" max="10" width="11.234375" style="1" bestFit="1" customWidth="1"/>
    <col min="11" max="11" width="18.64453125" style="1" bestFit="1" customWidth="1"/>
    <col min="12" max="16384" width="8.87890625" style="1"/>
  </cols>
  <sheetData>
    <row r="1" spans="1:11" ht="17.7" thickBot="1" x14ac:dyDescent="0.55000000000000004">
      <c r="A1" s="43" t="s">
        <v>227</v>
      </c>
      <c r="B1" s="44"/>
      <c r="C1" s="44"/>
      <c r="D1" s="44"/>
      <c r="E1" s="44"/>
      <c r="F1" s="44"/>
      <c r="G1" s="44"/>
      <c r="H1" s="44"/>
      <c r="I1" s="138"/>
      <c r="J1" s="138"/>
      <c r="K1" s="75"/>
    </row>
    <row r="2" spans="1:11" ht="14.35" thickBot="1" x14ac:dyDescent="0.5">
      <c r="A2" s="31" t="s">
        <v>225</v>
      </c>
      <c r="B2" s="32" t="s">
        <v>224</v>
      </c>
      <c r="C2" s="68" t="s">
        <v>223</v>
      </c>
      <c r="D2" s="68" t="s">
        <v>222</v>
      </c>
      <c r="E2" s="68" t="s">
        <v>221</v>
      </c>
      <c r="F2" s="68" t="s">
        <v>220</v>
      </c>
      <c r="G2" s="68" t="s">
        <v>219</v>
      </c>
      <c r="H2" s="134" t="s">
        <v>226</v>
      </c>
      <c r="I2" s="68" t="s">
        <v>6</v>
      </c>
      <c r="J2" s="68" t="s">
        <v>7</v>
      </c>
      <c r="K2" s="77" t="s">
        <v>256</v>
      </c>
    </row>
    <row r="3" spans="1:11" x14ac:dyDescent="0.45">
      <c r="A3" s="20" t="s">
        <v>218</v>
      </c>
      <c r="B3" s="2" t="s">
        <v>81</v>
      </c>
      <c r="C3" s="6" t="s">
        <v>217</v>
      </c>
      <c r="D3" s="112" t="s">
        <v>60</v>
      </c>
      <c r="E3" s="112" t="s">
        <v>216</v>
      </c>
      <c r="F3" s="113">
        <v>2323</v>
      </c>
      <c r="G3" s="114">
        <v>136.6</v>
      </c>
      <c r="H3" s="135">
        <f>G3/$G$53</f>
        <v>6.949645089867151E-3</v>
      </c>
      <c r="I3" s="113">
        <v>2323</v>
      </c>
      <c r="J3" s="113">
        <v>3801</v>
      </c>
      <c r="K3" s="141">
        <f>J3/I3-1</f>
        <v>0.636246233318984</v>
      </c>
    </row>
    <row r="4" spans="1:11" x14ac:dyDescent="0.45">
      <c r="A4" s="22" t="s">
        <v>215</v>
      </c>
      <c r="B4" s="11" t="s">
        <v>214</v>
      </c>
      <c r="C4" s="15" t="s">
        <v>213</v>
      </c>
      <c r="D4" s="70" t="s">
        <v>60</v>
      </c>
      <c r="E4" s="70" t="s">
        <v>212</v>
      </c>
      <c r="F4" s="115">
        <v>1340.9</v>
      </c>
      <c r="G4" s="116">
        <v>163.01</v>
      </c>
      <c r="H4" s="136">
        <f t="shared" ref="H4:H34" si="0">G4/$G$53</f>
        <v>8.2932770578275569E-3</v>
      </c>
      <c r="I4" s="115">
        <v>1340.9</v>
      </c>
      <c r="J4" s="115">
        <v>1692.4</v>
      </c>
      <c r="K4" s="142">
        <f t="shared" ref="K4:K34" si="1">J4/I4-1</f>
        <v>0.26213737042285024</v>
      </c>
    </row>
    <row r="5" spans="1:11" x14ac:dyDescent="0.45">
      <c r="A5" s="22" t="s">
        <v>211</v>
      </c>
      <c r="B5" s="11" t="s">
        <v>94</v>
      </c>
      <c r="C5" s="15" t="s">
        <v>210</v>
      </c>
      <c r="D5" s="70" t="s">
        <v>60</v>
      </c>
      <c r="E5" s="70" t="s">
        <v>209</v>
      </c>
      <c r="F5" s="115">
        <v>7930</v>
      </c>
      <c r="G5" s="116">
        <v>668.46</v>
      </c>
      <c r="H5" s="136">
        <f t="shared" si="0"/>
        <v>3.4008490166710079E-2</v>
      </c>
      <c r="I5" s="115">
        <v>7930</v>
      </c>
      <c r="J5" s="115">
        <v>8259.25</v>
      </c>
      <c r="K5" s="142">
        <f t="shared" si="1"/>
        <v>4.151954602774266E-2</v>
      </c>
    </row>
    <row r="6" spans="1:11" x14ac:dyDescent="0.45">
      <c r="A6" s="22" t="s">
        <v>208</v>
      </c>
      <c r="B6" s="11" t="s">
        <v>74</v>
      </c>
      <c r="C6" s="15" t="s">
        <v>207</v>
      </c>
      <c r="D6" s="70" t="s">
        <v>60</v>
      </c>
      <c r="E6" s="70" t="s">
        <v>206</v>
      </c>
      <c r="F6" s="115">
        <v>2505</v>
      </c>
      <c r="G6" s="116">
        <v>131.94999999999999</v>
      </c>
      <c r="H6" s="136">
        <f t="shared" si="0"/>
        <v>6.7130722518885105E-3</v>
      </c>
      <c r="I6" s="115">
        <v>2505</v>
      </c>
      <c r="J6" s="115">
        <v>2461.29</v>
      </c>
      <c r="K6" s="142">
        <f t="shared" si="1"/>
        <v>-1.744910179640724E-2</v>
      </c>
    </row>
    <row r="7" spans="1:11" x14ac:dyDescent="0.45">
      <c r="A7" s="22" t="s">
        <v>205</v>
      </c>
      <c r="B7" s="11" t="s">
        <v>98</v>
      </c>
      <c r="C7" s="15" t="s">
        <v>204</v>
      </c>
      <c r="D7" s="70" t="s">
        <v>60</v>
      </c>
      <c r="E7" s="70" t="s">
        <v>203</v>
      </c>
      <c r="F7" s="115">
        <v>1070.7</v>
      </c>
      <c r="G7" s="116">
        <v>413.27</v>
      </c>
      <c r="H7" s="136">
        <f t="shared" si="0"/>
        <v>2.102547457020057E-2</v>
      </c>
      <c r="I7" s="115">
        <v>1070.7</v>
      </c>
      <c r="J7" s="115">
        <v>1302.77</v>
      </c>
      <c r="K7" s="142">
        <f t="shared" si="1"/>
        <v>0.21674605398337521</v>
      </c>
    </row>
    <row r="8" spans="1:11" x14ac:dyDescent="0.45">
      <c r="A8" s="22" t="s">
        <v>202</v>
      </c>
      <c r="B8" s="11" t="s">
        <v>85</v>
      </c>
      <c r="C8" s="15" t="s">
        <v>201</v>
      </c>
      <c r="D8" s="70" t="s">
        <v>60</v>
      </c>
      <c r="E8" s="70" t="s">
        <v>200</v>
      </c>
      <c r="F8" s="115">
        <v>8685</v>
      </c>
      <c r="G8" s="116">
        <v>320.04000000000002</v>
      </c>
      <c r="H8" s="136">
        <f t="shared" si="0"/>
        <v>1.6282316358426672E-2</v>
      </c>
      <c r="I8" s="115">
        <v>8685</v>
      </c>
      <c r="J8" s="115">
        <v>9897.75</v>
      </c>
      <c r="K8" s="142">
        <f t="shared" si="1"/>
        <v>0.13963730569948196</v>
      </c>
    </row>
    <row r="9" spans="1:11" x14ac:dyDescent="0.45">
      <c r="A9" s="22" t="s">
        <v>199</v>
      </c>
      <c r="B9" s="11" t="s">
        <v>98</v>
      </c>
      <c r="C9" s="15" t="s">
        <v>198</v>
      </c>
      <c r="D9" s="70" t="s">
        <v>60</v>
      </c>
      <c r="E9" s="70" t="s">
        <v>197</v>
      </c>
      <c r="F9" s="115">
        <v>1967.6</v>
      </c>
      <c r="G9" s="116">
        <v>139.66999999999999</v>
      </c>
      <c r="H9" s="136">
        <f t="shared" si="0"/>
        <v>7.1058340388121888E-3</v>
      </c>
      <c r="I9" s="115">
        <v>896.1</v>
      </c>
      <c r="J9" s="115">
        <v>1000</v>
      </c>
      <c r="K9" s="142">
        <f t="shared" si="1"/>
        <v>0.11594688092846783</v>
      </c>
    </row>
    <row r="10" spans="1:11" x14ac:dyDescent="0.45">
      <c r="A10" s="22" t="s">
        <v>196</v>
      </c>
      <c r="B10" s="11" t="s">
        <v>98</v>
      </c>
      <c r="C10" s="15" t="s">
        <v>195</v>
      </c>
      <c r="D10" s="70" t="s">
        <v>60</v>
      </c>
      <c r="E10" s="70" t="s">
        <v>194</v>
      </c>
      <c r="F10" s="70">
        <v>896.1</v>
      </c>
      <c r="G10" s="116">
        <v>576.09</v>
      </c>
      <c r="H10" s="136">
        <f t="shared" si="0"/>
        <v>2.9309085210992441E-2</v>
      </c>
      <c r="I10" s="70">
        <v>1967.6</v>
      </c>
      <c r="J10" s="115">
        <v>2200</v>
      </c>
      <c r="K10" s="142">
        <f t="shared" si="1"/>
        <v>0.11811343769058746</v>
      </c>
    </row>
    <row r="11" spans="1:11" x14ac:dyDescent="0.45">
      <c r="A11" s="22" t="s">
        <v>193</v>
      </c>
      <c r="B11" s="11" t="s">
        <v>18</v>
      </c>
      <c r="C11" s="15" t="s">
        <v>192</v>
      </c>
      <c r="D11" s="70" t="s">
        <v>60</v>
      </c>
      <c r="E11" s="70" t="s">
        <v>191</v>
      </c>
      <c r="F11" s="70">
        <v>375.15</v>
      </c>
      <c r="G11" s="116">
        <v>575.26</v>
      </c>
      <c r="H11" s="136">
        <f t="shared" si="0"/>
        <v>2.9266858231310231E-2</v>
      </c>
      <c r="I11" s="70">
        <v>375.15</v>
      </c>
      <c r="J11" s="70">
        <v>412.89</v>
      </c>
      <c r="K11" s="142">
        <f t="shared" si="1"/>
        <v>0.10059976009596161</v>
      </c>
    </row>
    <row r="12" spans="1:11" x14ac:dyDescent="0.45">
      <c r="A12" s="22" t="s">
        <v>190</v>
      </c>
      <c r="B12" s="11" t="s">
        <v>189</v>
      </c>
      <c r="C12" s="15" t="s">
        <v>188</v>
      </c>
      <c r="D12" s="70" t="s">
        <v>60</v>
      </c>
      <c r="E12" s="70" t="s">
        <v>187</v>
      </c>
      <c r="F12" s="115">
        <v>1933</v>
      </c>
      <c r="G12" s="116">
        <v>631.88</v>
      </c>
      <c r="H12" s="136">
        <f t="shared" si="0"/>
        <v>3.2147450507944771E-2</v>
      </c>
      <c r="I12" s="115">
        <v>1933</v>
      </c>
      <c r="J12" s="115">
        <v>2053.5700000000002</v>
      </c>
      <c r="K12" s="142">
        <f t="shared" si="1"/>
        <v>6.2374547335747543E-2</v>
      </c>
    </row>
    <row r="13" spans="1:11" x14ac:dyDescent="0.45">
      <c r="A13" s="22" t="s">
        <v>186</v>
      </c>
      <c r="B13" s="11" t="s">
        <v>94</v>
      </c>
      <c r="C13" s="15" t="s">
        <v>185</v>
      </c>
      <c r="D13" s="70" t="s">
        <v>60</v>
      </c>
      <c r="E13" s="70" t="s">
        <v>184</v>
      </c>
      <c r="F13" s="115">
        <v>1592</v>
      </c>
      <c r="G13" s="116">
        <v>250.8</v>
      </c>
      <c r="H13" s="136">
        <f t="shared" si="0"/>
        <v>1.2759670487106016E-2</v>
      </c>
      <c r="I13" s="115">
        <v>1592</v>
      </c>
      <c r="J13" s="115">
        <v>1713</v>
      </c>
      <c r="K13" s="142">
        <f t="shared" si="1"/>
        <v>7.6005025125628123E-2</v>
      </c>
    </row>
    <row r="14" spans="1:11" x14ac:dyDescent="0.45">
      <c r="A14" s="22" t="s">
        <v>183</v>
      </c>
      <c r="B14" s="11" t="s">
        <v>108</v>
      </c>
      <c r="C14" s="15" t="s">
        <v>182</v>
      </c>
      <c r="D14" s="70" t="s">
        <v>60</v>
      </c>
      <c r="E14" s="70" t="s">
        <v>181</v>
      </c>
      <c r="F14" s="70">
        <v>374.3</v>
      </c>
      <c r="G14" s="116">
        <v>176.32</v>
      </c>
      <c r="H14" s="136">
        <f t="shared" si="0"/>
        <v>8.970435009116956E-3</v>
      </c>
      <c r="I14" s="70">
        <v>374.3</v>
      </c>
      <c r="J14" s="70">
        <v>461.62</v>
      </c>
      <c r="K14" s="142">
        <f t="shared" si="1"/>
        <v>0.23328880577077205</v>
      </c>
    </row>
    <row r="15" spans="1:11" x14ac:dyDescent="0.45">
      <c r="A15" s="22" t="s">
        <v>180</v>
      </c>
      <c r="B15" s="11" t="s">
        <v>94</v>
      </c>
      <c r="C15" s="15" t="s">
        <v>179</v>
      </c>
      <c r="D15" s="70" t="s">
        <v>60</v>
      </c>
      <c r="E15" s="70" t="s">
        <v>178</v>
      </c>
      <c r="F15" s="115">
        <v>1275</v>
      </c>
      <c r="G15" s="116">
        <v>157.19999999999999</v>
      </c>
      <c r="H15" s="136">
        <f t="shared" si="0"/>
        <v>7.997688200052094E-3</v>
      </c>
      <c r="I15" s="115">
        <v>1275</v>
      </c>
      <c r="J15" s="115">
        <v>1278.56</v>
      </c>
      <c r="K15" s="142">
        <f t="shared" si="1"/>
        <v>2.7921568627451432E-3</v>
      </c>
    </row>
    <row r="16" spans="1:11" x14ac:dyDescent="0.45">
      <c r="A16" s="22" t="s">
        <v>177</v>
      </c>
      <c r="B16" s="11" t="s">
        <v>85</v>
      </c>
      <c r="C16" s="15" t="s">
        <v>176</v>
      </c>
      <c r="D16" s="70" t="s">
        <v>60</v>
      </c>
      <c r="E16" s="70" t="s">
        <v>175</v>
      </c>
      <c r="F16" s="115">
        <v>5930</v>
      </c>
      <c r="G16" s="116">
        <v>162.5</v>
      </c>
      <c r="H16" s="136">
        <f t="shared" si="0"/>
        <v>8.2673303594686092E-3</v>
      </c>
      <c r="I16" s="115">
        <v>5930</v>
      </c>
      <c r="J16" s="115">
        <v>5550.7</v>
      </c>
      <c r="K16" s="142">
        <f t="shared" si="1"/>
        <v>-6.3962900505902254E-2</v>
      </c>
    </row>
    <row r="17" spans="1:11" x14ac:dyDescent="0.45">
      <c r="A17" s="22" t="s">
        <v>174</v>
      </c>
      <c r="B17" s="11" t="s">
        <v>70</v>
      </c>
      <c r="C17" s="15" t="s">
        <v>173</v>
      </c>
      <c r="D17" s="70" t="s">
        <v>60</v>
      </c>
      <c r="E17" s="70" t="s">
        <v>172</v>
      </c>
      <c r="F17" s="70">
        <v>318.75</v>
      </c>
      <c r="G17" s="116">
        <v>733.92</v>
      </c>
      <c r="H17" s="136">
        <f t="shared" si="0"/>
        <v>3.7338825214899701E-2</v>
      </c>
      <c r="I17" s="70">
        <v>318.75</v>
      </c>
      <c r="J17" s="70">
        <v>303.67</v>
      </c>
      <c r="K17" s="142">
        <f t="shared" si="1"/>
        <v>-4.7309803921568583E-2</v>
      </c>
    </row>
    <row r="18" spans="1:11" x14ac:dyDescent="0.45">
      <c r="A18" s="22" t="s">
        <v>171</v>
      </c>
      <c r="B18" s="11" t="s">
        <v>66</v>
      </c>
      <c r="C18" s="15" t="s">
        <v>170</v>
      </c>
      <c r="D18" s="70" t="s">
        <v>60</v>
      </c>
      <c r="E18" s="70" t="s">
        <v>169</v>
      </c>
      <c r="F18" s="115">
        <v>2807.8</v>
      </c>
      <c r="G18" s="116">
        <v>189.8</v>
      </c>
      <c r="H18" s="136">
        <f t="shared" si="0"/>
        <v>9.6562418598593377E-3</v>
      </c>
      <c r="I18" s="115">
        <v>2807.8</v>
      </c>
      <c r="J18" s="115">
        <v>3240.75</v>
      </c>
      <c r="K18" s="142">
        <f t="shared" si="1"/>
        <v>0.1541954555167746</v>
      </c>
    </row>
    <row r="19" spans="1:11" x14ac:dyDescent="0.45">
      <c r="A19" s="22" t="s">
        <v>32</v>
      </c>
      <c r="B19" s="11" t="s">
        <v>62</v>
      </c>
      <c r="C19" s="15" t="s">
        <v>168</v>
      </c>
      <c r="D19" s="70" t="s">
        <v>60</v>
      </c>
      <c r="E19" s="70" t="s">
        <v>167</v>
      </c>
      <c r="F19" s="115">
        <v>1467.1</v>
      </c>
      <c r="G19" s="116">
        <v>412.28</v>
      </c>
      <c r="H19" s="136">
        <f t="shared" si="0"/>
        <v>2.0975107449856728E-2</v>
      </c>
      <c r="I19" s="115">
        <v>1467.1</v>
      </c>
      <c r="J19" s="115">
        <v>1735.08</v>
      </c>
      <c r="K19" s="142">
        <f t="shared" si="1"/>
        <v>0.18265966873423767</v>
      </c>
    </row>
    <row r="20" spans="1:11" x14ac:dyDescent="0.45">
      <c r="A20" s="22" t="s">
        <v>166</v>
      </c>
      <c r="B20" s="11" t="s">
        <v>98</v>
      </c>
      <c r="C20" s="15" t="s">
        <v>165</v>
      </c>
      <c r="D20" s="70" t="s">
        <v>60</v>
      </c>
      <c r="E20" s="70" t="s">
        <v>164</v>
      </c>
      <c r="F20" s="115">
        <v>1965.5</v>
      </c>
      <c r="G20" s="117">
        <v>1952.27</v>
      </c>
      <c r="H20" s="136">
        <f t="shared" si="0"/>
        <v>9.93234525592602E-2</v>
      </c>
      <c r="I20" s="115">
        <v>1965.5</v>
      </c>
      <c r="J20" s="115">
        <v>2258.7800000000002</v>
      </c>
      <c r="K20" s="142">
        <f t="shared" si="1"/>
        <v>0.14921394047316205</v>
      </c>
    </row>
    <row r="21" spans="1:11" x14ac:dyDescent="0.45">
      <c r="A21" s="22" t="s">
        <v>163</v>
      </c>
      <c r="B21" s="11" t="s">
        <v>98</v>
      </c>
      <c r="C21" s="15" t="s">
        <v>162</v>
      </c>
      <c r="D21" s="70" t="s">
        <v>60</v>
      </c>
      <c r="E21" s="70" t="s">
        <v>161</v>
      </c>
      <c r="F21" s="70">
        <v>789.5</v>
      </c>
      <c r="G21" s="116">
        <v>105.27</v>
      </c>
      <c r="H21" s="136">
        <f t="shared" si="0"/>
        <v>5.355703796561603E-3</v>
      </c>
      <c r="I21" s="70">
        <v>789.5</v>
      </c>
      <c r="J21" s="70">
        <v>864.88</v>
      </c>
      <c r="K21" s="142">
        <f t="shared" si="1"/>
        <v>9.5478150728309119E-2</v>
      </c>
    </row>
    <row r="22" spans="1:11" x14ac:dyDescent="0.45">
      <c r="A22" s="22" t="s">
        <v>160</v>
      </c>
      <c r="B22" s="11" t="s">
        <v>85</v>
      </c>
      <c r="C22" s="15" t="s">
        <v>159</v>
      </c>
      <c r="D22" s="70" t="s">
        <v>60</v>
      </c>
      <c r="E22" s="70" t="s">
        <v>158</v>
      </c>
      <c r="F22" s="115">
        <v>4992.3</v>
      </c>
      <c r="G22" s="116">
        <v>680.88</v>
      </c>
      <c r="H22" s="136">
        <f t="shared" si="0"/>
        <v>3.4640368585569153E-2</v>
      </c>
      <c r="I22" s="115">
        <v>4992.3</v>
      </c>
      <c r="J22" s="115">
        <v>5311.75</v>
      </c>
      <c r="K22" s="142">
        <f t="shared" si="1"/>
        <v>6.3988542355227107E-2</v>
      </c>
    </row>
    <row r="23" spans="1:11" x14ac:dyDescent="0.45">
      <c r="A23" s="22" t="s">
        <v>157</v>
      </c>
      <c r="B23" s="11" t="s">
        <v>81</v>
      </c>
      <c r="C23" s="15" t="s">
        <v>156</v>
      </c>
      <c r="D23" s="70" t="s">
        <v>60</v>
      </c>
      <c r="E23" s="70" t="s">
        <v>155</v>
      </c>
      <c r="F23" s="70">
        <v>702.65</v>
      </c>
      <c r="G23" s="116">
        <v>396.95</v>
      </c>
      <c r="H23" s="136">
        <f t="shared" si="0"/>
        <v>2.0195180222714243E-2</v>
      </c>
      <c r="I23" s="70">
        <v>702.65</v>
      </c>
      <c r="J23" s="70">
        <v>739.12</v>
      </c>
      <c r="K23" s="142">
        <f t="shared" si="1"/>
        <v>5.1903508147726596E-2</v>
      </c>
    </row>
    <row r="24" spans="1:11" x14ac:dyDescent="0.45">
      <c r="A24" s="22" t="s">
        <v>154</v>
      </c>
      <c r="B24" s="11" t="s">
        <v>88</v>
      </c>
      <c r="C24" s="15" t="s">
        <v>153</v>
      </c>
      <c r="D24" s="70" t="s">
        <v>60</v>
      </c>
      <c r="E24" s="70" t="s">
        <v>152</v>
      </c>
      <c r="F24" s="115">
        <v>2631.9</v>
      </c>
      <c r="G24" s="116">
        <v>321.92</v>
      </c>
      <c r="H24" s="136">
        <f t="shared" si="0"/>
        <v>1.6377963011200831E-2</v>
      </c>
      <c r="I24" s="115">
        <v>2631.9</v>
      </c>
      <c r="J24" s="115">
        <v>2817.1</v>
      </c>
      <c r="K24" s="142">
        <f t="shared" si="1"/>
        <v>7.0367415175348613E-2</v>
      </c>
    </row>
    <row r="25" spans="1:11" x14ac:dyDescent="0.45">
      <c r="A25" s="22" t="s">
        <v>151</v>
      </c>
      <c r="B25" s="11" t="s">
        <v>98</v>
      </c>
      <c r="C25" s="15" t="s">
        <v>150</v>
      </c>
      <c r="D25" s="70" t="s">
        <v>60</v>
      </c>
      <c r="E25" s="70" t="s">
        <v>149</v>
      </c>
      <c r="F25" s="115">
        <v>1435.9</v>
      </c>
      <c r="G25" s="116">
        <v>956.43</v>
      </c>
      <c r="H25" s="136">
        <f t="shared" si="0"/>
        <v>4.8659217081271154E-2</v>
      </c>
      <c r="I25" s="115">
        <v>1435.9</v>
      </c>
      <c r="J25" s="115">
        <v>1641.82</v>
      </c>
      <c r="K25" s="142">
        <f t="shared" si="1"/>
        <v>0.14340831534229381</v>
      </c>
    </row>
    <row r="26" spans="1:11" x14ac:dyDescent="0.45">
      <c r="A26" s="22" t="s">
        <v>145</v>
      </c>
      <c r="B26" s="11" t="s">
        <v>98</v>
      </c>
      <c r="C26" s="15" t="s">
        <v>144</v>
      </c>
      <c r="D26" s="70" t="s">
        <v>60</v>
      </c>
      <c r="E26" s="70" t="s">
        <v>143</v>
      </c>
      <c r="F26" s="115">
        <v>1487.9</v>
      </c>
      <c r="G26" s="116">
        <v>827.13</v>
      </c>
      <c r="H26" s="136">
        <f t="shared" si="0"/>
        <v>4.2080965909090898E-2</v>
      </c>
      <c r="I26" s="115">
        <v>761.9</v>
      </c>
      <c r="J26" s="115">
        <v>795.11</v>
      </c>
      <c r="K26" s="142">
        <f t="shared" si="1"/>
        <v>4.3588397427483994E-2</v>
      </c>
    </row>
    <row r="27" spans="1:11" x14ac:dyDescent="0.45">
      <c r="A27" s="22" t="s">
        <v>142</v>
      </c>
      <c r="B27" s="11" t="s">
        <v>62</v>
      </c>
      <c r="C27" s="15" t="s">
        <v>141</v>
      </c>
      <c r="D27" s="70" t="s">
        <v>60</v>
      </c>
      <c r="E27" s="70" t="s">
        <v>140</v>
      </c>
      <c r="F27" s="70">
        <v>398.3</v>
      </c>
      <c r="G27" s="116">
        <v>523.39</v>
      </c>
      <c r="H27" s="136">
        <f t="shared" si="0"/>
        <v>2.6627926380567851E-2</v>
      </c>
      <c r="I27" s="70">
        <v>1487.9</v>
      </c>
      <c r="J27" s="70">
        <v>1702.64</v>
      </c>
      <c r="K27" s="142">
        <f t="shared" si="1"/>
        <v>0.14432421533705231</v>
      </c>
    </row>
    <row r="28" spans="1:11" x14ac:dyDescent="0.45">
      <c r="A28" s="22" t="s">
        <v>148</v>
      </c>
      <c r="B28" s="11" t="s">
        <v>88</v>
      </c>
      <c r="C28" s="15" t="s">
        <v>147</v>
      </c>
      <c r="D28" s="70" t="s">
        <v>60</v>
      </c>
      <c r="E28" s="70" t="s">
        <v>146</v>
      </c>
      <c r="F28" s="70">
        <v>761.9</v>
      </c>
      <c r="G28" s="116">
        <v>189.84</v>
      </c>
      <c r="H28" s="136">
        <f t="shared" si="0"/>
        <v>9.6582768950247439E-3</v>
      </c>
      <c r="I28" s="70">
        <v>398.3</v>
      </c>
      <c r="J28" s="70">
        <v>508.14</v>
      </c>
      <c r="K28" s="142">
        <f t="shared" si="1"/>
        <v>0.27577203113231219</v>
      </c>
    </row>
    <row r="29" spans="1:11" x14ac:dyDescent="0.45">
      <c r="A29" s="22" t="s">
        <v>136</v>
      </c>
      <c r="B29" s="11" t="s">
        <v>98</v>
      </c>
      <c r="C29" s="15" t="s">
        <v>135</v>
      </c>
      <c r="D29" s="70" t="s">
        <v>60</v>
      </c>
      <c r="E29" s="70" t="s">
        <v>134</v>
      </c>
      <c r="F29" s="115">
        <v>1054.4000000000001</v>
      </c>
      <c r="G29" s="116">
        <v>205.94</v>
      </c>
      <c r="H29" s="136">
        <f t="shared" si="0"/>
        <v>1.0477378549101326E-2</v>
      </c>
      <c r="I29" s="115">
        <v>320.5</v>
      </c>
      <c r="J29" s="115">
        <v>318</v>
      </c>
      <c r="K29" s="142">
        <f t="shared" si="1"/>
        <v>-7.8003120124805481E-3</v>
      </c>
    </row>
    <row r="30" spans="1:11" x14ac:dyDescent="0.45">
      <c r="A30" s="22" t="s">
        <v>139</v>
      </c>
      <c r="B30" s="11" t="s">
        <v>81</v>
      </c>
      <c r="C30" s="15" t="s">
        <v>138</v>
      </c>
      <c r="D30" s="70" t="s">
        <v>60</v>
      </c>
      <c r="E30" s="70" t="s">
        <v>137</v>
      </c>
      <c r="F30" s="70">
        <v>320.5</v>
      </c>
      <c r="G30" s="116">
        <v>284.29000000000002</v>
      </c>
      <c r="H30" s="136">
        <f t="shared" si="0"/>
        <v>1.4463503679343577E-2</v>
      </c>
      <c r="I30" s="70">
        <v>1054.4000000000001</v>
      </c>
      <c r="J30" s="70">
        <v>1068</v>
      </c>
      <c r="K30" s="142">
        <f t="shared" si="1"/>
        <v>1.2898330804248737E-2</v>
      </c>
    </row>
    <row r="31" spans="1:11" x14ac:dyDescent="0.45">
      <c r="A31" s="22" t="s">
        <v>133</v>
      </c>
      <c r="B31" s="11" t="s">
        <v>98</v>
      </c>
      <c r="C31" s="15" t="s">
        <v>132</v>
      </c>
      <c r="D31" s="70" t="s">
        <v>60</v>
      </c>
      <c r="E31" s="70" t="s">
        <v>131</v>
      </c>
      <c r="F31" s="115">
        <v>1983.3</v>
      </c>
      <c r="G31" s="116">
        <v>357.15</v>
      </c>
      <c r="H31" s="136">
        <f t="shared" si="0"/>
        <v>1.8170320233133624E-2</v>
      </c>
      <c r="I31" s="115">
        <v>1983.3</v>
      </c>
      <c r="J31" s="115">
        <v>2380.09</v>
      </c>
      <c r="K31" s="142">
        <f t="shared" si="1"/>
        <v>0.20006554732012316</v>
      </c>
    </row>
    <row r="32" spans="1:11" x14ac:dyDescent="0.45">
      <c r="A32" s="22" t="s">
        <v>130</v>
      </c>
      <c r="B32" s="11" t="s">
        <v>129</v>
      </c>
      <c r="C32" s="15" t="s">
        <v>128</v>
      </c>
      <c r="D32" s="70" t="s">
        <v>60</v>
      </c>
      <c r="E32" s="70" t="s">
        <v>127</v>
      </c>
      <c r="F32" s="115">
        <v>3592</v>
      </c>
      <c r="G32" s="116">
        <v>382.05</v>
      </c>
      <c r="H32" s="136">
        <f t="shared" si="0"/>
        <v>1.9437129623599891E-2</v>
      </c>
      <c r="I32" s="115">
        <v>3592</v>
      </c>
      <c r="J32" s="115">
        <v>4315.12</v>
      </c>
      <c r="K32" s="142">
        <f t="shared" si="1"/>
        <v>0.20131403118040092</v>
      </c>
    </row>
    <row r="33" spans="1:11" x14ac:dyDescent="0.45">
      <c r="A33" s="22" t="s">
        <v>126</v>
      </c>
      <c r="B33" s="11" t="s">
        <v>85</v>
      </c>
      <c r="C33" s="15" t="s">
        <v>125</v>
      </c>
      <c r="D33" s="70" t="s">
        <v>60</v>
      </c>
      <c r="E33" s="70" t="s">
        <v>124</v>
      </c>
      <c r="F33" s="115">
        <v>3400.1</v>
      </c>
      <c r="G33" s="116">
        <v>853.31</v>
      </c>
      <c r="H33" s="136">
        <f t="shared" si="0"/>
        <v>4.341289642485021E-2</v>
      </c>
      <c r="I33" s="115">
        <v>3400.1</v>
      </c>
      <c r="J33" s="115">
        <v>3504.4</v>
      </c>
      <c r="K33" s="142">
        <f t="shared" si="1"/>
        <v>3.0675568365636341E-2</v>
      </c>
    </row>
    <row r="34" spans="1:11" x14ac:dyDescent="0.45">
      <c r="A34" s="22" t="s">
        <v>123</v>
      </c>
      <c r="B34" s="11" t="s">
        <v>85</v>
      </c>
      <c r="C34" s="15" t="s">
        <v>122</v>
      </c>
      <c r="D34" s="70" t="s">
        <v>60</v>
      </c>
      <c r="E34" s="70" t="s">
        <v>121</v>
      </c>
      <c r="F34" s="115">
        <v>14370</v>
      </c>
      <c r="G34" s="116">
        <v>657.41</v>
      </c>
      <c r="H34" s="136">
        <f t="shared" si="0"/>
        <v>3.344631170226621E-2</v>
      </c>
      <c r="I34" s="115">
        <v>14370</v>
      </c>
      <c r="J34" s="115">
        <v>13866.08</v>
      </c>
      <c r="K34" s="142">
        <f t="shared" si="1"/>
        <v>-3.5067501739735607E-2</v>
      </c>
    </row>
    <row r="35" spans="1:11" x14ac:dyDescent="0.45">
      <c r="A35" s="22" t="s">
        <v>117</v>
      </c>
      <c r="B35" s="11" t="s">
        <v>88</v>
      </c>
      <c r="C35" s="15" t="s">
        <v>116</v>
      </c>
      <c r="D35" s="70" t="s">
        <v>60</v>
      </c>
      <c r="E35" s="70" t="s">
        <v>115</v>
      </c>
      <c r="F35" s="70">
        <v>336.95</v>
      </c>
      <c r="G35" s="116">
        <v>287.68</v>
      </c>
      <c r="H35" s="136">
        <f t="shared" ref="H35:H52" si="2">G35/$G$53</f>
        <v>1.4635972909611876E-2</v>
      </c>
      <c r="I35" s="70">
        <v>1159.8</v>
      </c>
      <c r="J35" s="70">
        <v>2350</v>
      </c>
      <c r="K35" s="142">
        <f t="shared" ref="K35:K52" si="3">J35/I35-1</f>
        <v>1.0262114157613382</v>
      </c>
    </row>
    <row r="36" spans="1:11" x14ac:dyDescent="0.45">
      <c r="A36" s="22" t="s">
        <v>120</v>
      </c>
      <c r="B36" s="11" t="s">
        <v>16</v>
      </c>
      <c r="C36" s="15" t="s">
        <v>119</v>
      </c>
      <c r="D36" s="70" t="s">
        <v>60</v>
      </c>
      <c r="E36" s="70" t="s">
        <v>118</v>
      </c>
      <c r="F36" s="115">
        <v>1159.8</v>
      </c>
      <c r="G36" s="116">
        <v>107.62</v>
      </c>
      <c r="H36" s="136">
        <f t="shared" si="2"/>
        <v>5.4752621125293034E-3</v>
      </c>
      <c r="I36" s="115">
        <v>336.95</v>
      </c>
      <c r="J36" s="115">
        <v>397</v>
      </c>
      <c r="K36" s="142">
        <f t="shared" si="3"/>
        <v>0.17821635257456592</v>
      </c>
    </row>
    <row r="37" spans="1:11" x14ac:dyDescent="0.45">
      <c r="A37" s="22" t="s">
        <v>114</v>
      </c>
      <c r="B37" s="11" t="s">
        <v>108</v>
      </c>
      <c r="C37" s="15" t="s">
        <v>58</v>
      </c>
      <c r="D37" s="70" t="s">
        <v>60</v>
      </c>
      <c r="E37" s="70" t="s">
        <v>113</v>
      </c>
      <c r="F37" s="70">
        <v>236.2</v>
      </c>
      <c r="G37" s="116">
        <v>128.54</v>
      </c>
      <c r="H37" s="136">
        <f t="shared" si="2"/>
        <v>6.5395855040375084E-3</v>
      </c>
      <c r="I37" s="70">
        <v>236.2</v>
      </c>
      <c r="J37" s="70">
        <v>287.8</v>
      </c>
      <c r="K37" s="142">
        <f t="shared" si="3"/>
        <v>0.21845893310753617</v>
      </c>
    </row>
    <row r="38" spans="1:11" x14ac:dyDescent="0.45">
      <c r="A38" s="22" t="s">
        <v>112</v>
      </c>
      <c r="B38" s="11" t="s">
        <v>16</v>
      </c>
      <c r="C38" s="15" t="s">
        <v>111</v>
      </c>
      <c r="D38" s="70" t="s">
        <v>60</v>
      </c>
      <c r="E38" s="70" t="s">
        <v>110</v>
      </c>
      <c r="F38" s="70">
        <v>283.8</v>
      </c>
      <c r="G38" s="116">
        <v>193.13</v>
      </c>
      <c r="H38" s="136">
        <f t="shared" si="2"/>
        <v>9.8256585373795238E-3</v>
      </c>
      <c r="I38" s="70">
        <v>283.8</v>
      </c>
      <c r="J38" s="70">
        <v>357.67</v>
      </c>
      <c r="K38" s="142">
        <f t="shared" si="3"/>
        <v>0.26028893587033131</v>
      </c>
    </row>
    <row r="39" spans="1:11" x14ac:dyDescent="0.45">
      <c r="A39" s="22" t="s">
        <v>109</v>
      </c>
      <c r="B39" s="11" t="s">
        <v>108</v>
      </c>
      <c r="C39" s="15" t="s">
        <v>107</v>
      </c>
      <c r="D39" s="70" t="s">
        <v>60</v>
      </c>
      <c r="E39" s="70" t="s">
        <v>106</v>
      </c>
      <c r="F39" s="115">
        <v>1409.9</v>
      </c>
      <c r="G39" s="116">
        <v>822.78</v>
      </c>
      <c r="H39" s="136">
        <f t="shared" si="2"/>
        <v>4.1859655834852814E-2</v>
      </c>
      <c r="I39" s="115">
        <v>1409.9</v>
      </c>
      <c r="J39" s="115">
        <v>1561.5</v>
      </c>
      <c r="K39" s="142">
        <f t="shared" si="3"/>
        <v>0.10752535640825589</v>
      </c>
    </row>
    <row r="40" spans="1:11" x14ac:dyDescent="0.45">
      <c r="A40" s="22" t="s">
        <v>105</v>
      </c>
      <c r="B40" s="11" t="s">
        <v>98</v>
      </c>
      <c r="C40" s="15" t="s">
        <v>104</v>
      </c>
      <c r="D40" s="70" t="s">
        <v>60</v>
      </c>
      <c r="E40" s="70" t="s">
        <v>103</v>
      </c>
      <c r="F40" s="115">
        <v>1857</v>
      </c>
      <c r="G40" s="116">
        <v>112.75</v>
      </c>
      <c r="H40" s="136">
        <f t="shared" si="2"/>
        <v>5.7362553724928352E-3</v>
      </c>
      <c r="I40" s="115">
        <v>1857</v>
      </c>
      <c r="J40" s="115">
        <v>2084.1999999999998</v>
      </c>
      <c r="K40" s="142">
        <f t="shared" si="3"/>
        <v>0.12234787291330096</v>
      </c>
    </row>
    <row r="41" spans="1:11" x14ac:dyDescent="0.45">
      <c r="A41" s="22" t="s">
        <v>102</v>
      </c>
      <c r="B41" s="11" t="s">
        <v>98</v>
      </c>
      <c r="C41" s="15" t="s">
        <v>101</v>
      </c>
      <c r="D41" s="70" t="s">
        <v>60</v>
      </c>
      <c r="E41" s="70" t="s">
        <v>100</v>
      </c>
      <c r="F41" s="70">
        <v>816.8</v>
      </c>
      <c r="G41" s="116">
        <v>417.66</v>
      </c>
      <c r="H41" s="136">
        <f t="shared" si="2"/>
        <v>2.1248819679604059E-2</v>
      </c>
      <c r="I41" s="70">
        <v>616.25</v>
      </c>
      <c r="J41" s="70">
        <v>726.43</v>
      </c>
      <c r="K41" s="142">
        <f t="shared" si="3"/>
        <v>0.17879107505070979</v>
      </c>
    </row>
    <row r="42" spans="1:11" x14ac:dyDescent="0.45">
      <c r="A42" s="22" t="s">
        <v>99</v>
      </c>
      <c r="B42" s="11" t="s">
        <v>98</v>
      </c>
      <c r="C42" s="15" t="s">
        <v>97</v>
      </c>
      <c r="D42" s="70" t="s">
        <v>60</v>
      </c>
      <c r="E42" s="70" t="s">
        <v>96</v>
      </c>
      <c r="F42" s="70">
        <v>616.25</v>
      </c>
      <c r="G42" s="116">
        <v>215.31</v>
      </c>
      <c r="H42" s="136">
        <f t="shared" si="2"/>
        <v>1.095408553659807E-2</v>
      </c>
      <c r="I42" s="70">
        <v>816.8</v>
      </c>
      <c r="J42" s="70">
        <v>958.08</v>
      </c>
      <c r="K42" s="142">
        <f t="shared" si="3"/>
        <v>0.17296767874632724</v>
      </c>
    </row>
    <row r="43" spans="1:11" x14ac:dyDescent="0.45">
      <c r="A43" s="22" t="s">
        <v>95</v>
      </c>
      <c r="B43" s="11" t="s">
        <v>94</v>
      </c>
      <c r="C43" s="15" t="s">
        <v>93</v>
      </c>
      <c r="D43" s="70" t="s">
        <v>60</v>
      </c>
      <c r="E43" s="70" t="s">
        <v>92</v>
      </c>
      <c r="F43" s="115">
        <v>1639.5</v>
      </c>
      <c r="G43" s="116">
        <v>345.16</v>
      </c>
      <c r="H43" s="136">
        <f t="shared" si="2"/>
        <v>1.7560318442302682E-2</v>
      </c>
      <c r="I43" s="115">
        <v>1639.5</v>
      </c>
      <c r="J43" s="115">
        <v>2050.25</v>
      </c>
      <c r="K43" s="142">
        <f t="shared" si="3"/>
        <v>0.25053369929856673</v>
      </c>
    </row>
    <row r="44" spans="1:11" x14ac:dyDescent="0.45">
      <c r="A44" s="22" t="s">
        <v>91</v>
      </c>
      <c r="B44" s="11" t="s">
        <v>62</v>
      </c>
      <c r="C44" s="15" t="s">
        <v>57</v>
      </c>
      <c r="D44" s="70" t="s">
        <v>60</v>
      </c>
      <c r="E44" s="70" t="s">
        <v>90</v>
      </c>
      <c r="F44" s="115">
        <v>1085.5</v>
      </c>
      <c r="G44" s="116">
        <v>42.87</v>
      </c>
      <c r="H44" s="136">
        <f t="shared" si="2"/>
        <v>2.181048938525657E-3</v>
      </c>
      <c r="I44" s="115">
        <v>3054.7</v>
      </c>
      <c r="J44" s="115">
        <v>3930.82</v>
      </c>
      <c r="K44" s="142">
        <f t="shared" si="3"/>
        <v>0.28681048875503334</v>
      </c>
    </row>
    <row r="45" spans="1:11" x14ac:dyDescent="0.45">
      <c r="A45" s="22" t="s">
        <v>89</v>
      </c>
      <c r="B45" s="11" t="s">
        <v>88</v>
      </c>
      <c r="C45" s="15" t="s">
        <v>87</v>
      </c>
      <c r="D45" s="70" t="s">
        <v>60</v>
      </c>
      <c r="E45" s="70" t="s">
        <v>86</v>
      </c>
      <c r="F45" s="70">
        <v>680.95</v>
      </c>
      <c r="G45" s="116">
        <v>438.52</v>
      </c>
      <c r="H45" s="136">
        <f t="shared" si="2"/>
        <v>2.2310090518364151E-2</v>
      </c>
      <c r="I45" s="70">
        <v>1085.5</v>
      </c>
      <c r="J45" s="70">
        <v>1200.1400000000001</v>
      </c>
      <c r="K45" s="142">
        <f t="shared" si="3"/>
        <v>0.1056103178258867</v>
      </c>
    </row>
    <row r="46" spans="1:11" x14ac:dyDescent="0.45">
      <c r="A46" s="22" t="s">
        <v>39</v>
      </c>
      <c r="B46" s="11" t="s">
        <v>85</v>
      </c>
      <c r="C46" s="15" t="s">
        <v>84</v>
      </c>
      <c r="D46" s="70" t="s">
        <v>60</v>
      </c>
      <c r="E46" s="70" t="s">
        <v>83</v>
      </c>
      <c r="F46" s="70">
        <v>158.30000000000001</v>
      </c>
      <c r="G46" s="116">
        <v>256.64</v>
      </c>
      <c r="H46" s="136">
        <f t="shared" si="2"/>
        <v>1.3056785621255533E-2</v>
      </c>
      <c r="I46" s="70">
        <v>680.95</v>
      </c>
      <c r="J46" s="70">
        <v>838</v>
      </c>
      <c r="K46" s="142">
        <f t="shared" si="3"/>
        <v>0.23063367354431308</v>
      </c>
    </row>
    <row r="47" spans="1:11" x14ac:dyDescent="0.45">
      <c r="A47" s="22" t="s">
        <v>82</v>
      </c>
      <c r="B47" s="11" t="s">
        <v>81</v>
      </c>
      <c r="C47" s="15" t="s">
        <v>80</v>
      </c>
      <c r="D47" s="70" t="s">
        <v>60</v>
      </c>
      <c r="E47" s="70" t="s">
        <v>79</v>
      </c>
      <c r="F47" s="115">
        <v>3054.7</v>
      </c>
      <c r="G47" s="116">
        <v>489.05</v>
      </c>
      <c r="H47" s="136">
        <f t="shared" si="2"/>
        <v>2.4880848691065376E-2</v>
      </c>
      <c r="I47" s="115">
        <v>158.30000000000001</v>
      </c>
      <c r="J47" s="115">
        <v>165.43</v>
      </c>
      <c r="K47" s="142">
        <f t="shared" si="3"/>
        <v>4.5041061276058114E-2</v>
      </c>
    </row>
    <row r="48" spans="1:11" x14ac:dyDescent="0.45">
      <c r="A48" s="22" t="s">
        <v>78</v>
      </c>
      <c r="B48" s="11" t="s">
        <v>62</v>
      </c>
      <c r="C48" s="15" t="s">
        <v>77</v>
      </c>
      <c r="D48" s="70" t="s">
        <v>60</v>
      </c>
      <c r="E48" s="70" t="s">
        <v>76</v>
      </c>
      <c r="F48" s="115">
        <v>1503</v>
      </c>
      <c r="G48" s="116">
        <v>146.22</v>
      </c>
      <c r="H48" s="136">
        <f t="shared" si="2"/>
        <v>7.4390710471476931E-3</v>
      </c>
      <c r="I48" s="115">
        <v>1503</v>
      </c>
      <c r="J48" s="115">
        <v>1742.18</v>
      </c>
      <c r="K48" s="142">
        <f t="shared" si="3"/>
        <v>0.1591350632069195</v>
      </c>
    </row>
    <row r="49" spans="1:11" x14ac:dyDescent="0.45">
      <c r="A49" s="22" t="s">
        <v>75</v>
      </c>
      <c r="B49" s="11" t="s">
        <v>74</v>
      </c>
      <c r="C49" s="15" t="s">
        <v>73</v>
      </c>
      <c r="D49" s="70" t="s">
        <v>60</v>
      </c>
      <c r="E49" s="70" t="s">
        <v>72</v>
      </c>
      <c r="F49" s="115">
        <v>3618.9</v>
      </c>
      <c r="G49" s="116">
        <v>250.55</v>
      </c>
      <c r="H49" s="136">
        <f t="shared" si="2"/>
        <v>1.2746951517322217E-2</v>
      </c>
      <c r="I49" s="115">
        <v>3618.9</v>
      </c>
      <c r="J49" s="115">
        <v>3853.43</v>
      </c>
      <c r="K49" s="142">
        <f t="shared" si="3"/>
        <v>6.4806985548094609E-2</v>
      </c>
    </row>
    <row r="50" spans="1:11" x14ac:dyDescent="0.45">
      <c r="A50" s="22" t="s">
        <v>71</v>
      </c>
      <c r="B50" s="11" t="s">
        <v>70</v>
      </c>
      <c r="C50" s="15" t="s">
        <v>69</v>
      </c>
      <c r="D50" s="70" t="s">
        <v>60</v>
      </c>
      <c r="E50" s="70" t="s">
        <v>68</v>
      </c>
      <c r="F50" s="115">
        <v>5420</v>
      </c>
      <c r="G50" s="116">
        <v>241.36</v>
      </c>
      <c r="H50" s="136">
        <f t="shared" si="2"/>
        <v>1.2279402188069808E-2</v>
      </c>
      <c r="I50" s="115">
        <v>5420</v>
      </c>
      <c r="J50" s="115">
        <v>6258.75</v>
      </c>
      <c r="K50" s="142">
        <f t="shared" si="3"/>
        <v>0.15475092250922518</v>
      </c>
    </row>
    <row r="51" spans="1:11" x14ac:dyDescent="0.45">
      <c r="A51" s="22" t="s">
        <v>67</v>
      </c>
      <c r="B51" s="11" t="s">
        <v>66</v>
      </c>
      <c r="C51" s="15" t="s">
        <v>65</v>
      </c>
      <c r="D51" s="70" t="s">
        <v>60</v>
      </c>
      <c r="E51" s="70" t="s">
        <v>64</v>
      </c>
      <c r="F51" s="115">
        <v>12605</v>
      </c>
      <c r="G51" s="116">
        <v>288.25</v>
      </c>
      <c r="H51" s="136">
        <f t="shared" si="2"/>
        <v>1.4664972160718935E-2</v>
      </c>
      <c r="I51" s="115">
        <v>12605</v>
      </c>
      <c r="J51" s="115">
        <v>13979.2</v>
      </c>
      <c r="K51" s="142">
        <f t="shared" si="3"/>
        <v>0.10902023006743367</v>
      </c>
    </row>
    <row r="52" spans="1:11" ht="14.35" thickBot="1" x14ac:dyDescent="0.5">
      <c r="A52" s="24" t="s">
        <v>63</v>
      </c>
      <c r="B52" s="25" t="s">
        <v>62</v>
      </c>
      <c r="C52" s="26" t="s">
        <v>61</v>
      </c>
      <c r="D52" s="118" t="s">
        <v>60</v>
      </c>
      <c r="E52" s="118" t="s">
        <v>59</v>
      </c>
      <c r="F52" s="118">
        <v>248.74</v>
      </c>
      <c r="G52" s="119">
        <v>338.31</v>
      </c>
      <c r="H52" s="137">
        <f t="shared" si="2"/>
        <v>1.7211818670226618E-2</v>
      </c>
      <c r="I52" s="118">
        <v>248.74</v>
      </c>
      <c r="J52" s="118">
        <v>260.73</v>
      </c>
      <c r="K52" s="143">
        <f t="shared" si="3"/>
        <v>4.8202942831872653E-2</v>
      </c>
    </row>
    <row r="53" spans="1:11" x14ac:dyDescent="0.45">
      <c r="G53" s="120">
        <f>SUM(G3:G52)</f>
        <v>19655.680000000004</v>
      </c>
      <c r="H53" s="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showGridLines="0" zoomScale="89" workbookViewId="0">
      <selection activeCell="C26" sqref="C26"/>
    </sheetView>
  </sheetViews>
  <sheetFormatPr defaultColWidth="8.87890625" defaultRowHeight="14" x14ac:dyDescent="0.45"/>
  <cols>
    <col min="1" max="1" width="31.234375" style="1" customWidth="1"/>
    <col min="2" max="2" width="20.64453125" style="1" bestFit="1" customWidth="1"/>
    <col min="3" max="3" width="13.3515625" style="1" customWidth="1"/>
    <col min="4" max="4" width="11.234375" style="1" bestFit="1" customWidth="1"/>
    <col min="5" max="5" width="21.3515625" style="1" bestFit="1" customWidth="1"/>
    <col min="6" max="6" width="7.3515625" style="1" bestFit="1" customWidth="1"/>
    <col min="7" max="7" width="20.87890625" style="1" customWidth="1"/>
    <col min="8" max="8" width="12.76171875" style="1" bestFit="1" customWidth="1"/>
    <col min="9" max="9" width="13.1171875" style="1" bestFit="1" customWidth="1"/>
    <col min="10" max="10" width="22.64453125" style="1" bestFit="1" customWidth="1"/>
    <col min="11" max="11" width="5.234375" style="1" bestFit="1" customWidth="1"/>
    <col min="12" max="12" width="21.64453125" style="1" bestFit="1" customWidth="1"/>
    <col min="13" max="16384" width="8.87890625" style="1"/>
  </cols>
  <sheetData>
    <row r="1" spans="1:11" ht="17.7" thickBot="1" x14ac:dyDescent="0.55000000000000004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5"/>
    </row>
    <row r="2" spans="1:11" ht="14.35" thickBot="1" x14ac:dyDescent="0.5">
      <c r="A2" s="31" t="s">
        <v>0</v>
      </c>
      <c r="B2" s="32" t="s">
        <v>13</v>
      </c>
      <c r="C2" s="33" t="s">
        <v>6</v>
      </c>
      <c r="D2" s="34" t="s">
        <v>7</v>
      </c>
      <c r="E2" s="32" t="s">
        <v>8</v>
      </c>
      <c r="F2" s="33" t="s">
        <v>2</v>
      </c>
      <c r="G2" s="35" t="s">
        <v>9</v>
      </c>
      <c r="H2" s="34" t="s">
        <v>10</v>
      </c>
      <c r="I2" s="32" t="s">
        <v>11</v>
      </c>
      <c r="J2" s="36" t="s">
        <v>12</v>
      </c>
    </row>
    <row r="3" spans="1:11" x14ac:dyDescent="0.45">
      <c r="A3" s="20" t="s">
        <v>44</v>
      </c>
      <c r="B3" s="2" t="s">
        <v>15</v>
      </c>
      <c r="C3" s="3">
        <v>369</v>
      </c>
      <c r="D3" s="4">
        <v>450</v>
      </c>
      <c r="E3" s="5">
        <f>D3/C3-1</f>
        <v>0.21951219512195119</v>
      </c>
      <c r="F3" s="6">
        <v>0.99</v>
      </c>
      <c r="G3" s="7">
        <v>0.17599999999999999</v>
      </c>
      <c r="H3" s="8">
        <v>6.5000000000000002E-2</v>
      </c>
      <c r="I3" s="9">
        <f>H3+F3*(G3-H3)</f>
        <v>0.17488999999999999</v>
      </c>
      <c r="J3" s="37">
        <f>E3-I3</f>
        <v>4.4622195121951203E-2</v>
      </c>
      <c r="K3" s="10">
        <v>1</v>
      </c>
    </row>
    <row r="4" spans="1:11" x14ac:dyDescent="0.45">
      <c r="A4" s="22" t="s">
        <v>26</v>
      </c>
      <c r="B4" s="11" t="s">
        <v>24</v>
      </c>
      <c r="C4" s="12">
        <v>547.1</v>
      </c>
      <c r="D4" s="13">
        <v>920</v>
      </c>
      <c r="E4" s="14">
        <f t="shared" ref="E4:E22" si="0">D4/C4-1</f>
        <v>0.68159385852677756</v>
      </c>
      <c r="F4" s="15">
        <v>1.81</v>
      </c>
      <c r="G4" s="16">
        <v>0.17599999999999999</v>
      </c>
      <c r="H4" s="17">
        <v>6.5000000000000002E-2</v>
      </c>
      <c r="I4" s="18">
        <f t="shared" ref="I4:I22" si="1">H4+F4*(G4-H4)</f>
        <v>0.26590999999999998</v>
      </c>
      <c r="J4" s="38">
        <f t="shared" ref="J4:J22" si="2">E4-I4</f>
        <v>0.41568385852677758</v>
      </c>
      <c r="K4" s="10">
        <v>2</v>
      </c>
    </row>
    <row r="5" spans="1:11" x14ac:dyDescent="0.45">
      <c r="A5" s="22" t="s">
        <v>38</v>
      </c>
      <c r="B5" s="11" t="s">
        <v>15</v>
      </c>
      <c r="C5" s="12">
        <v>2518.6</v>
      </c>
      <c r="D5" s="13">
        <v>3450</v>
      </c>
      <c r="E5" s="14">
        <f t="shared" si="0"/>
        <v>0.36980862383864066</v>
      </c>
      <c r="F5" s="15">
        <v>1.53</v>
      </c>
      <c r="G5" s="16">
        <v>0.17599999999999999</v>
      </c>
      <c r="H5" s="17">
        <v>6.5000000000000002E-2</v>
      </c>
      <c r="I5" s="18">
        <f t="shared" si="1"/>
        <v>0.23482999999999998</v>
      </c>
      <c r="J5" s="38">
        <f t="shared" si="2"/>
        <v>0.13497862383864068</v>
      </c>
      <c r="K5" s="10">
        <v>3</v>
      </c>
    </row>
    <row r="6" spans="1:11" x14ac:dyDescent="0.45">
      <c r="A6" s="22" t="s">
        <v>27</v>
      </c>
      <c r="B6" s="11" t="s">
        <v>23</v>
      </c>
      <c r="C6" s="12">
        <v>642.75</v>
      </c>
      <c r="D6" s="13">
        <v>796</v>
      </c>
      <c r="E6" s="14">
        <f t="shared" si="0"/>
        <v>0.23842862699338774</v>
      </c>
      <c r="F6" s="15">
        <v>1.17</v>
      </c>
      <c r="G6" s="16">
        <v>0.17599999999999999</v>
      </c>
      <c r="H6" s="17">
        <v>6.5000000000000002E-2</v>
      </c>
      <c r="I6" s="18">
        <f t="shared" si="1"/>
        <v>0.19486999999999999</v>
      </c>
      <c r="J6" s="38">
        <f t="shared" si="2"/>
        <v>4.355862699338775E-2</v>
      </c>
      <c r="K6" s="10">
        <v>4</v>
      </c>
    </row>
    <row r="7" spans="1:11" x14ac:dyDescent="0.45">
      <c r="A7" s="22" t="s">
        <v>28</v>
      </c>
      <c r="B7" s="11" t="s">
        <v>22</v>
      </c>
      <c r="C7" s="12">
        <v>258.39999999999998</v>
      </c>
      <c r="D7" s="13">
        <v>312.5</v>
      </c>
      <c r="E7" s="14">
        <f t="shared" si="0"/>
        <v>0.20936532507739947</v>
      </c>
      <c r="F7" s="15">
        <v>0.92</v>
      </c>
      <c r="G7" s="16">
        <v>0.17599999999999999</v>
      </c>
      <c r="H7" s="17">
        <v>6.5000000000000002E-2</v>
      </c>
      <c r="I7" s="18">
        <f t="shared" si="1"/>
        <v>0.16711999999999999</v>
      </c>
      <c r="J7" s="38">
        <f t="shared" si="2"/>
        <v>4.2245325077399476E-2</v>
      </c>
      <c r="K7" s="10">
        <v>5</v>
      </c>
    </row>
    <row r="8" spans="1:11" x14ac:dyDescent="0.45">
      <c r="A8" s="22" t="s">
        <v>37</v>
      </c>
      <c r="B8" s="11" t="s">
        <v>14</v>
      </c>
      <c r="C8" s="12">
        <v>375.4</v>
      </c>
      <c r="D8" s="13">
        <v>467.5</v>
      </c>
      <c r="E8" s="14">
        <f t="shared" si="0"/>
        <v>0.24533830580713922</v>
      </c>
      <c r="F8" s="15">
        <v>1.46</v>
      </c>
      <c r="G8" s="16">
        <v>0.17599999999999999</v>
      </c>
      <c r="H8" s="17">
        <v>6.5000000000000002E-2</v>
      </c>
      <c r="I8" s="14">
        <f t="shared" si="1"/>
        <v>0.22705999999999998</v>
      </c>
      <c r="J8" s="38">
        <f t="shared" si="2"/>
        <v>1.8278305807139239E-2</v>
      </c>
      <c r="K8" s="10">
        <v>6</v>
      </c>
    </row>
    <row r="9" spans="1:11" x14ac:dyDescent="0.45">
      <c r="A9" s="22" t="s">
        <v>31</v>
      </c>
      <c r="B9" s="11" t="s">
        <v>18</v>
      </c>
      <c r="C9" s="12">
        <v>445.45</v>
      </c>
      <c r="D9" s="13">
        <v>635.25</v>
      </c>
      <c r="E9" s="14">
        <f t="shared" si="0"/>
        <v>0.42608598046918855</v>
      </c>
      <c r="F9" s="15">
        <v>0.92</v>
      </c>
      <c r="G9" s="16">
        <v>0.17599999999999999</v>
      </c>
      <c r="H9" s="17">
        <v>6.5000000000000002E-2</v>
      </c>
      <c r="I9" s="18">
        <f t="shared" si="1"/>
        <v>0.16711999999999999</v>
      </c>
      <c r="J9" s="38">
        <f t="shared" si="2"/>
        <v>0.25896598046918856</v>
      </c>
      <c r="K9" s="10">
        <v>7</v>
      </c>
    </row>
    <row r="10" spans="1:11" x14ac:dyDescent="0.45">
      <c r="A10" s="22" t="s">
        <v>30</v>
      </c>
      <c r="B10" s="11" t="s">
        <v>14</v>
      </c>
      <c r="C10" s="12">
        <v>1230.0999999999999</v>
      </c>
      <c r="D10" s="13">
        <v>1540.86</v>
      </c>
      <c r="E10" s="14">
        <f t="shared" si="0"/>
        <v>0.25262986749044791</v>
      </c>
      <c r="F10" s="15">
        <v>1.27</v>
      </c>
      <c r="G10" s="16">
        <v>0.17599999999999999</v>
      </c>
      <c r="H10" s="17">
        <v>6.5000000000000002E-2</v>
      </c>
      <c r="I10" s="18">
        <f t="shared" si="1"/>
        <v>0.20596999999999999</v>
      </c>
      <c r="J10" s="38">
        <f t="shared" si="2"/>
        <v>4.6659867490447926E-2</v>
      </c>
      <c r="K10" s="10">
        <v>8</v>
      </c>
    </row>
    <row r="11" spans="1:11" x14ac:dyDescent="0.45">
      <c r="A11" s="22" t="s">
        <v>29</v>
      </c>
      <c r="B11" s="11" t="s">
        <v>22</v>
      </c>
      <c r="C11" s="12">
        <v>611.95000000000005</v>
      </c>
      <c r="D11" s="13">
        <v>783.86</v>
      </c>
      <c r="E11" s="14">
        <f t="shared" si="0"/>
        <v>0.28092164392515717</v>
      </c>
      <c r="F11" s="15">
        <v>0.56999999999999995</v>
      </c>
      <c r="G11" s="16">
        <v>0.17599999999999999</v>
      </c>
      <c r="H11" s="17">
        <v>6.5000000000000002E-2</v>
      </c>
      <c r="I11" s="18">
        <f t="shared" si="1"/>
        <v>0.12827</v>
      </c>
      <c r="J11" s="38">
        <f t="shared" si="2"/>
        <v>0.15265164392515718</v>
      </c>
      <c r="K11" s="10">
        <v>9</v>
      </c>
    </row>
    <row r="12" spans="1:11" x14ac:dyDescent="0.45">
      <c r="A12" s="22" t="s">
        <v>34</v>
      </c>
      <c r="B12" s="11" t="s">
        <v>21</v>
      </c>
      <c r="C12" s="12">
        <v>432.05</v>
      </c>
      <c r="D12" s="13">
        <v>550.66999999999996</v>
      </c>
      <c r="E12" s="14">
        <f t="shared" si="0"/>
        <v>0.27455155653280849</v>
      </c>
      <c r="F12" s="15">
        <v>0.91</v>
      </c>
      <c r="G12" s="16">
        <v>0.17599999999999999</v>
      </c>
      <c r="H12" s="17">
        <v>6.5000000000000002E-2</v>
      </c>
      <c r="I12" s="18">
        <f t="shared" si="1"/>
        <v>0.16600999999999999</v>
      </c>
      <c r="J12" s="38">
        <f t="shared" si="2"/>
        <v>0.1085415565328085</v>
      </c>
      <c r="K12" s="10">
        <v>10</v>
      </c>
    </row>
    <row r="13" spans="1:11" x14ac:dyDescent="0.45">
      <c r="A13" s="22" t="s">
        <v>32</v>
      </c>
      <c r="B13" s="11" t="s">
        <v>14</v>
      </c>
      <c r="C13" s="12">
        <v>1466.3</v>
      </c>
      <c r="D13" s="13">
        <v>1735.08</v>
      </c>
      <c r="E13" s="14">
        <f t="shared" si="0"/>
        <v>0.1833049171383756</v>
      </c>
      <c r="F13" s="15">
        <v>1.04</v>
      </c>
      <c r="G13" s="16">
        <v>0.17599999999999999</v>
      </c>
      <c r="H13" s="17">
        <v>6.5000000000000002E-2</v>
      </c>
      <c r="I13" s="18">
        <f t="shared" si="1"/>
        <v>0.18043999999999999</v>
      </c>
      <c r="J13" s="38">
        <f t="shared" si="2"/>
        <v>2.8649171383756111E-3</v>
      </c>
      <c r="K13" s="10">
        <v>11</v>
      </c>
    </row>
    <row r="14" spans="1:11" x14ac:dyDescent="0.45">
      <c r="A14" s="22" t="s">
        <v>40</v>
      </c>
      <c r="B14" s="11" t="s">
        <v>16</v>
      </c>
      <c r="C14" s="12">
        <v>517.9</v>
      </c>
      <c r="D14" s="13">
        <v>630.66999999999996</v>
      </c>
      <c r="E14" s="14">
        <f t="shared" si="0"/>
        <v>0.2177447383664799</v>
      </c>
      <c r="F14" s="15">
        <v>1.2</v>
      </c>
      <c r="G14" s="16">
        <v>0.17599999999999999</v>
      </c>
      <c r="H14" s="17">
        <v>6.5000000000000002E-2</v>
      </c>
      <c r="I14" s="18">
        <f t="shared" si="1"/>
        <v>0.19819999999999999</v>
      </c>
      <c r="J14" s="38">
        <f t="shared" si="2"/>
        <v>1.9544738366479908E-2</v>
      </c>
      <c r="K14" s="10">
        <v>12</v>
      </c>
    </row>
    <row r="15" spans="1:11" x14ac:dyDescent="0.45">
      <c r="A15" s="22" t="s">
        <v>41</v>
      </c>
      <c r="B15" s="11" t="s">
        <v>14</v>
      </c>
      <c r="C15" s="12">
        <v>419.9</v>
      </c>
      <c r="D15" s="13">
        <v>517</v>
      </c>
      <c r="E15" s="14">
        <f t="shared" si="0"/>
        <v>0.23124553465110753</v>
      </c>
      <c r="F15" s="15">
        <v>1.07</v>
      </c>
      <c r="G15" s="16">
        <v>0.17599999999999999</v>
      </c>
      <c r="H15" s="17">
        <v>6.5000000000000002E-2</v>
      </c>
      <c r="I15" s="18">
        <f t="shared" si="1"/>
        <v>0.18376999999999999</v>
      </c>
      <c r="J15" s="38">
        <f t="shared" si="2"/>
        <v>4.7475534651107543E-2</v>
      </c>
      <c r="K15" s="10">
        <v>13</v>
      </c>
    </row>
    <row r="16" spans="1:11" x14ac:dyDescent="0.45">
      <c r="A16" s="22" t="s">
        <v>42</v>
      </c>
      <c r="B16" s="11" t="s">
        <v>14</v>
      </c>
      <c r="C16" s="12">
        <v>331.4</v>
      </c>
      <c r="D16" s="13">
        <v>445</v>
      </c>
      <c r="E16" s="14">
        <f t="shared" si="0"/>
        <v>0.34278817139408568</v>
      </c>
      <c r="F16" s="15">
        <v>0.67</v>
      </c>
      <c r="G16" s="16">
        <v>0.17599999999999999</v>
      </c>
      <c r="H16" s="17">
        <v>6.5000000000000002E-2</v>
      </c>
      <c r="I16" s="18">
        <f t="shared" si="1"/>
        <v>0.13936999999999999</v>
      </c>
      <c r="J16" s="38">
        <f t="shared" si="2"/>
        <v>0.20341817139408569</v>
      </c>
      <c r="K16" s="10">
        <v>14</v>
      </c>
    </row>
    <row r="17" spans="1:11" x14ac:dyDescent="0.45">
      <c r="A17" s="22" t="s">
        <v>35</v>
      </c>
      <c r="B17" s="11" t="s">
        <v>14</v>
      </c>
      <c r="C17" s="12">
        <v>8624</v>
      </c>
      <c r="D17" s="13">
        <v>10500</v>
      </c>
      <c r="E17" s="14">
        <f t="shared" si="0"/>
        <v>0.21753246753246747</v>
      </c>
      <c r="F17" s="15">
        <v>1.37</v>
      </c>
      <c r="G17" s="16">
        <v>0.17599999999999999</v>
      </c>
      <c r="H17" s="17">
        <v>6.5000000000000002E-2</v>
      </c>
      <c r="I17" s="18">
        <f t="shared" si="1"/>
        <v>0.21706999999999999</v>
      </c>
      <c r="J17" s="38">
        <f t="shared" si="2"/>
        <v>4.6246753246748096E-4</v>
      </c>
      <c r="K17" s="10">
        <v>15</v>
      </c>
    </row>
    <row r="18" spans="1:11" x14ac:dyDescent="0.45">
      <c r="A18" s="22" t="s">
        <v>36</v>
      </c>
      <c r="B18" s="11" t="s">
        <v>15</v>
      </c>
      <c r="C18" s="12">
        <v>375.6</v>
      </c>
      <c r="D18" s="13">
        <v>513.75</v>
      </c>
      <c r="E18" s="14">
        <f t="shared" si="0"/>
        <v>0.36781150159744391</v>
      </c>
      <c r="F18" s="15">
        <v>1.81</v>
      </c>
      <c r="G18" s="16">
        <v>0.17599999999999999</v>
      </c>
      <c r="H18" s="17">
        <v>6.5000000000000002E-2</v>
      </c>
      <c r="I18" s="18">
        <f t="shared" si="1"/>
        <v>0.26590999999999998</v>
      </c>
      <c r="J18" s="38">
        <f t="shared" si="2"/>
        <v>0.10190150159744393</v>
      </c>
      <c r="K18" s="10">
        <v>16</v>
      </c>
    </row>
    <row r="19" spans="1:11" x14ac:dyDescent="0.45">
      <c r="A19" s="22" t="s">
        <v>25</v>
      </c>
      <c r="B19" s="11" t="s">
        <v>24</v>
      </c>
      <c r="C19" s="12">
        <v>389.5</v>
      </c>
      <c r="D19" s="13">
        <v>646.33000000000004</v>
      </c>
      <c r="E19" s="14">
        <f t="shared" si="0"/>
        <v>0.65938382541720175</v>
      </c>
      <c r="F19" s="15">
        <v>1.23</v>
      </c>
      <c r="G19" s="16">
        <v>0.17599999999999999</v>
      </c>
      <c r="H19" s="17">
        <v>6.5000000000000002E-2</v>
      </c>
      <c r="I19" s="18">
        <f t="shared" si="1"/>
        <v>0.20152999999999999</v>
      </c>
      <c r="J19" s="38">
        <f t="shared" si="2"/>
        <v>0.45785382541720177</v>
      </c>
      <c r="K19" s="10">
        <v>17</v>
      </c>
    </row>
    <row r="20" spans="1:11" x14ac:dyDescent="0.45">
      <c r="A20" s="22" t="s">
        <v>39</v>
      </c>
      <c r="B20" s="11" t="s">
        <v>17</v>
      </c>
      <c r="C20" s="12">
        <v>680.3</v>
      </c>
      <c r="D20" s="13">
        <v>838</v>
      </c>
      <c r="E20" s="14">
        <f t="shared" si="0"/>
        <v>0.23180949581067178</v>
      </c>
      <c r="F20" s="15">
        <v>1.27</v>
      </c>
      <c r="G20" s="16">
        <v>0.17599999999999999</v>
      </c>
      <c r="H20" s="17">
        <v>6.5000000000000002E-2</v>
      </c>
      <c r="I20" s="18">
        <f t="shared" si="1"/>
        <v>0.20596999999999999</v>
      </c>
      <c r="J20" s="38">
        <f t="shared" si="2"/>
        <v>2.5839495810671798E-2</v>
      </c>
      <c r="K20" s="10">
        <v>18</v>
      </c>
    </row>
    <row r="21" spans="1:11" x14ac:dyDescent="0.45">
      <c r="A21" s="22" t="s">
        <v>43</v>
      </c>
      <c r="B21" s="11" t="s">
        <v>16</v>
      </c>
      <c r="C21" s="12">
        <v>385.6</v>
      </c>
      <c r="D21" s="13">
        <v>490.4</v>
      </c>
      <c r="E21" s="14">
        <f t="shared" si="0"/>
        <v>0.27178423236514515</v>
      </c>
      <c r="F21" s="15">
        <v>1.32</v>
      </c>
      <c r="G21" s="16">
        <v>0.17599999999999999</v>
      </c>
      <c r="H21" s="17">
        <v>6.5000000000000002E-2</v>
      </c>
      <c r="I21" s="18">
        <f t="shared" si="1"/>
        <v>0.21151999999999999</v>
      </c>
      <c r="J21" s="38">
        <f t="shared" si="2"/>
        <v>6.0264232365145165E-2</v>
      </c>
      <c r="K21" s="10">
        <v>19</v>
      </c>
    </row>
    <row r="22" spans="1:11" ht="14.35" thickBot="1" x14ac:dyDescent="0.5">
      <c r="A22" s="24" t="s">
        <v>33</v>
      </c>
      <c r="B22" s="25" t="s">
        <v>20</v>
      </c>
      <c r="C22" s="39">
        <v>1329.9</v>
      </c>
      <c r="D22" s="40">
        <v>1650</v>
      </c>
      <c r="E22" s="27">
        <f t="shared" si="0"/>
        <v>0.2406947890818858</v>
      </c>
      <c r="F22" s="26">
        <v>0.73</v>
      </c>
      <c r="G22" s="28">
        <v>0.17599999999999999</v>
      </c>
      <c r="H22" s="29">
        <v>6.5000000000000002E-2</v>
      </c>
      <c r="I22" s="41">
        <f t="shared" si="1"/>
        <v>0.14602999999999999</v>
      </c>
      <c r="J22" s="42">
        <f t="shared" si="2"/>
        <v>9.4664789081885803E-2</v>
      </c>
      <c r="K22" s="10">
        <v>20</v>
      </c>
    </row>
    <row r="24" spans="1:11" x14ac:dyDescent="0.45">
      <c r="B24" s="51" t="s">
        <v>19</v>
      </c>
      <c r="C24" s="52"/>
    </row>
    <row r="25" spans="1:11" x14ac:dyDescent="0.45">
      <c r="B25" s="53" t="s">
        <v>49</v>
      </c>
      <c r="C25" s="50"/>
    </row>
    <row r="26" spans="1:11" x14ac:dyDescent="0.45">
      <c r="B26" s="53" t="s">
        <v>45</v>
      </c>
      <c r="C26" s="50"/>
    </row>
    <row r="27" spans="1:11" x14ac:dyDescent="0.45">
      <c r="B27" s="53" t="s">
        <v>48</v>
      </c>
      <c r="C27" s="50"/>
    </row>
    <row r="28" spans="1:11" x14ac:dyDescent="0.45">
      <c r="B28" s="53" t="s">
        <v>46</v>
      </c>
      <c r="C28" s="50"/>
    </row>
    <row r="29" spans="1:11" x14ac:dyDescent="0.45">
      <c r="B29" s="54" t="s">
        <v>47</v>
      </c>
      <c r="C29" s="55"/>
    </row>
    <row r="30" spans="1:11" ht="14.35" thickBot="1" x14ac:dyDescent="0.5">
      <c r="G30" s="19"/>
    </row>
    <row r="31" spans="1:11" ht="17.7" thickBot="1" x14ac:dyDescent="0.55000000000000004">
      <c r="A31" s="43" t="s">
        <v>50</v>
      </c>
      <c r="B31" s="44"/>
      <c r="C31" s="44"/>
      <c r="D31" s="44"/>
      <c r="E31" s="44"/>
      <c r="F31" s="44"/>
      <c r="G31" s="44"/>
      <c r="H31" s="44"/>
      <c r="I31" s="44"/>
      <c r="J31" s="45"/>
    </row>
    <row r="32" spans="1:11" ht="14.35" thickBot="1" x14ac:dyDescent="0.5">
      <c r="A32" s="46" t="s">
        <v>0</v>
      </c>
      <c r="B32" s="47" t="s">
        <v>13</v>
      </c>
      <c r="C32" s="48" t="s">
        <v>6</v>
      </c>
      <c r="D32" s="48" t="s">
        <v>7</v>
      </c>
      <c r="E32" s="47" t="s">
        <v>8</v>
      </c>
      <c r="F32" s="48" t="s">
        <v>2</v>
      </c>
      <c r="G32" s="48" t="s">
        <v>9</v>
      </c>
      <c r="H32" s="48" t="s">
        <v>10</v>
      </c>
      <c r="I32" s="47" t="s">
        <v>11</v>
      </c>
      <c r="J32" s="49" t="s">
        <v>12</v>
      </c>
    </row>
    <row r="33" spans="1:10" x14ac:dyDescent="0.45">
      <c r="A33" s="20">
        <v>3</v>
      </c>
      <c r="B33" s="2" t="str">
        <f t="shared" ref="B33:J42" si="3">INDEX(B$3:B$22,MATCH($A33,$K$3:$K$22,0))</f>
        <v>Finance</v>
      </c>
      <c r="C33" s="3">
        <f t="shared" si="3"/>
        <v>2518.6</v>
      </c>
      <c r="D33" s="4">
        <f t="shared" si="3"/>
        <v>3450</v>
      </c>
      <c r="E33" s="5">
        <f t="shared" si="3"/>
        <v>0.36980862383864066</v>
      </c>
      <c r="F33" s="6">
        <f t="shared" si="3"/>
        <v>1.53</v>
      </c>
      <c r="G33" s="7">
        <f t="shared" si="3"/>
        <v>0.17599999999999999</v>
      </c>
      <c r="H33" s="8">
        <f t="shared" si="3"/>
        <v>6.5000000000000002E-2</v>
      </c>
      <c r="I33" s="5">
        <f t="shared" si="3"/>
        <v>0.23482999999999998</v>
      </c>
      <c r="J33" s="21">
        <f t="shared" si="3"/>
        <v>0.13497862383864068</v>
      </c>
    </row>
    <row r="34" spans="1:10" x14ac:dyDescent="0.45">
      <c r="A34" s="22">
        <v>6</v>
      </c>
      <c r="B34" s="11" t="str">
        <f t="shared" si="3"/>
        <v>Software &amp; IT Services</v>
      </c>
      <c r="C34" s="12">
        <f t="shared" si="3"/>
        <v>375.4</v>
      </c>
      <c r="D34" s="13">
        <f t="shared" si="3"/>
        <v>467.5</v>
      </c>
      <c r="E34" s="14">
        <f t="shared" si="3"/>
        <v>0.24533830580713922</v>
      </c>
      <c r="F34" s="15">
        <f t="shared" si="3"/>
        <v>1.46</v>
      </c>
      <c r="G34" s="16">
        <f t="shared" si="3"/>
        <v>0.17599999999999999</v>
      </c>
      <c r="H34" s="17">
        <f t="shared" si="3"/>
        <v>6.5000000000000002E-2</v>
      </c>
      <c r="I34" s="14">
        <f t="shared" si="3"/>
        <v>0.22705999999999998</v>
      </c>
      <c r="J34" s="23">
        <f t="shared" si="3"/>
        <v>1.8278305807139239E-2</v>
      </c>
    </row>
    <row r="35" spans="1:10" x14ac:dyDescent="0.45">
      <c r="A35" s="22">
        <v>12</v>
      </c>
      <c r="B35" s="11" t="str">
        <f t="shared" si="3"/>
        <v>Power</v>
      </c>
      <c r="C35" s="12">
        <f t="shared" si="3"/>
        <v>517.9</v>
      </c>
      <c r="D35" s="13">
        <f t="shared" si="3"/>
        <v>630.66999999999996</v>
      </c>
      <c r="E35" s="14">
        <f t="shared" si="3"/>
        <v>0.2177447383664799</v>
      </c>
      <c r="F35" s="15">
        <f t="shared" si="3"/>
        <v>1.2</v>
      </c>
      <c r="G35" s="16">
        <f t="shared" si="3"/>
        <v>0.17599999999999999</v>
      </c>
      <c r="H35" s="17">
        <f t="shared" si="3"/>
        <v>6.5000000000000002E-2</v>
      </c>
      <c r="I35" s="14">
        <f t="shared" si="3"/>
        <v>0.19819999999999999</v>
      </c>
      <c r="J35" s="23">
        <f t="shared" si="3"/>
        <v>1.9544738366479908E-2</v>
      </c>
    </row>
    <row r="36" spans="1:10" x14ac:dyDescent="0.45">
      <c r="A36" s="22">
        <v>18</v>
      </c>
      <c r="B36" s="11" t="str">
        <f t="shared" si="3"/>
        <v>Automobile &amp; Ancillaries</v>
      </c>
      <c r="C36" s="12">
        <f t="shared" si="3"/>
        <v>680.3</v>
      </c>
      <c r="D36" s="13">
        <f t="shared" si="3"/>
        <v>838</v>
      </c>
      <c r="E36" s="14">
        <f t="shared" si="3"/>
        <v>0.23180949581067178</v>
      </c>
      <c r="F36" s="15">
        <f t="shared" si="3"/>
        <v>1.27</v>
      </c>
      <c r="G36" s="16">
        <f t="shared" si="3"/>
        <v>0.17599999999999999</v>
      </c>
      <c r="H36" s="17">
        <f t="shared" si="3"/>
        <v>6.5000000000000002E-2</v>
      </c>
      <c r="I36" s="14">
        <f t="shared" si="3"/>
        <v>0.20596999999999999</v>
      </c>
      <c r="J36" s="23">
        <f t="shared" si="3"/>
        <v>2.5839495810671798E-2</v>
      </c>
    </row>
    <row r="37" spans="1:10" x14ac:dyDescent="0.45">
      <c r="A37" s="22">
        <v>11</v>
      </c>
      <c r="B37" s="11" t="str">
        <f t="shared" si="3"/>
        <v>Software &amp; IT Services</v>
      </c>
      <c r="C37" s="12">
        <f t="shared" si="3"/>
        <v>1466.3</v>
      </c>
      <c r="D37" s="13">
        <f t="shared" si="3"/>
        <v>1735.08</v>
      </c>
      <c r="E37" s="14">
        <f t="shared" si="3"/>
        <v>0.1833049171383756</v>
      </c>
      <c r="F37" s="15">
        <f t="shared" si="3"/>
        <v>1.04</v>
      </c>
      <c r="G37" s="16">
        <f t="shared" si="3"/>
        <v>0.17599999999999999</v>
      </c>
      <c r="H37" s="17">
        <f t="shared" si="3"/>
        <v>6.5000000000000002E-2</v>
      </c>
      <c r="I37" s="14">
        <f t="shared" si="3"/>
        <v>0.18043999999999999</v>
      </c>
      <c r="J37" s="23">
        <f t="shared" si="3"/>
        <v>2.8649171383756111E-3</v>
      </c>
    </row>
    <row r="38" spans="1:10" x14ac:dyDescent="0.45">
      <c r="A38" s="22">
        <v>9</v>
      </c>
      <c r="B38" s="11" t="str">
        <f t="shared" si="3"/>
        <v>FMCG</v>
      </c>
      <c r="C38" s="12">
        <f t="shared" si="3"/>
        <v>611.95000000000005</v>
      </c>
      <c r="D38" s="13">
        <f t="shared" si="3"/>
        <v>783.86</v>
      </c>
      <c r="E38" s="14">
        <f t="shared" si="3"/>
        <v>0.28092164392515717</v>
      </c>
      <c r="F38" s="15">
        <f t="shared" si="3"/>
        <v>0.56999999999999995</v>
      </c>
      <c r="G38" s="16">
        <f t="shared" si="3"/>
        <v>0.17599999999999999</v>
      </c>
      <c r="H38" s="17">
        <f t="shared" si="3"/>
        <v>6.5000000000000002E-2</v>
      </c>
      <c r="I38" s="14">
        <f t="shared" si="3"/>
        <v>0.12827</v>
      </c>
      <c r="J38" s="23">
        <f t="shared" si="3"/>
        <v>0.15265164392515718</v>
      </c>
    </row>
    <row r="39" spans="1:10" x14ac:dyDescent="0.45">
      <c r="A39" s="22">
        <v>15</v>
      </c>
      <c r="B39" s="11" t="str">
        <f t="shared" si="3"/>
        <v>Software &amp; IT Services</v>
      </c>
      <c r="C39" s="12">
        <f t="shared" si="3"/>
        <v>8624</v>
      </c>
      <c r="D39" s="13">
        <f t="shared" si="3"/>
        <v>10500</v>
      </c>
      <c r="E39" s="14">
        <f t="shared" si="3"/>
        <v>0.21753246753246747</v>
      </c>
      <c r="F39" s="15">
        <f t="shared" si="3"/>
        <v>1.37</v>
      </c>
      <c r="G39" s="16">
        <f t="shared" si="3"/>
        <v>0.17599999999999999</v>
      </c>
      <c r="H39" s="17">
        <f t="shared" si="3"/>
        <v>6.5000000000000002E-2</v>
      </c>
      <c r="I39" s="14">
        <f t="shared" si="3"/>
        <v>0.21706999999999999</v>
      </c>
      <c r="J39" s="23">
        <f t="shared" si="3"/>
        <v>4.6246753246748096E-4</v>
      </c>
    </row>
    <row r="40" spans="1:10" x14ac:dyDescent="0.45">
      <c r="A40" s="22">
        <v>20</v>
      </c>
      <c r="B40" s="11" t="str">
        <f t="shared" si="3"/>
        <v>Alcohol</v>
      </c>
      <c r="C40" s="12">
        <f t="shared" si="3"/>
        <v>1329.9</v>
      </c>
      <c r="D40" s="13">
        <f t="shared" si="3"/>
        <v>1650</v>
      </c>
      <c r="E40" s="14">
        <f t="shared" si="3"/>
        <v>0.2406947890818858</v>
      </c>
      <c r="F40" s="15">
        <f t="shared" si="3"/>
        <v>0.73</v>
      </c>
      <c r="G40" s="16">
        <f t="shared" si="3"/>
        <v>0.17599999999999999</v>
      </c>
      <c r="H40" s="17">
        <f t="shared" si="3"/>
        <v>6.5000000000000002E-2</v>
      </c>
      <c r="I40" s="14">
        <f t="shared" si="3"/>
        <v>0.14602999999999999</v>
      </c>
      <c r="J40" s="23">
        <f t="shared" si="3"/>
        <v>9.4664789081885803E-2</v>
      </c>
    </row>
    <row r="41" spans="1:10" x14ac:dyDescent="0.45">
      <c r="A41" s="22">
        <v>17</v>
      </c>
      <c r="B41" s="11" t="str">
        <f t="shared" si="3"/>
        <v>Real Estate</v>
      </c>
      <c r="C41" s="12">
        <f t="shared" si="3"/>
        <v>389.5</v>
      </c>
      <c r="D41" s="13">
        <f t="shared" si="3"/>
        <v>646.33000000000004</v>
      </c>
      <c r="E41" s="14">
        <f t="shared" si="3"/>
        <v>0.65938382541720175</v>
      </c>
      <c r="F41" s="15">
        <f t="shared" si="3"/>
        <v>1.23</v>
      </c>
      <c r="G41" s="16">
        <f t="shared" si="3"/>
        <v>0.17599999999999999</v>
      </c>
      <c r="H41" s="17">
        <f t="shared" si="3"/>
        <v>6.5000000000000002E-2</v>
      </c>
      <c r="I41" s="14">
        <f t="shared" si="3"/>
        <v>0.20152999999999999</v>
      </c>
      <c r="J41" s="23">
        <f t="shared" si="3"/>
        <v>0.45785382541720177</v>
      </c>
    </row>
    <row r="42" spans="1:10" ht="14.35" thickBot="1" x14ac:dyDescent="0.5">
      <c r="A42" s="24">
        <v>10</v>
      </c>
      <c r="B42" s="25" t="str">
        <f t="shared" si="3"/>
        <v>Industrial Gases &amp; Fuels</v>
      </c>
      <c r="C42" s="39">
        <f t="shared" si="3"/>
        <v>432.05</v>
      </c>
      <c r="D42" s="40">
        <f t="shared" si="3"/>
        <v>550.66999999999996</v>
      </c>
      <c r="E42" s="27">
        <f t="shared" si="3"/>
        <v>0.27455155653280849</v>
      </c>
      <c r="F42" s="26">
        <f t="shared" si="3"/>
        <v>0.91</v>
      </c>
      <c r="G42" s="28">
        <f t="shared" si="3"/>
        <v>0.17599999999999999</v>
      </c>
      <c r="H42" s="29">
        <f t="shared" si="3"/>
        <v>6.5000000000000002E-2</v>
      </c>
      <c r="I42" s="27">
        <f t="shared" si="3"/>
        <v>0.16600999999999999</v>
      </c>
      <c r="J42" s="30">
        <f t="shared" si="3"/>
        <v>0.1085415565328085</v>
      </c>
    </row>
  </sheetData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Drop Down 2">
              <controlPr defaultSize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8467</xdr:colOff>
                    <xdr:row>33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0</xdr:col>
                    <xdr:colOff>0</xdr:colOff>
                    <xdr:row>33</xdr:row>
                    <xdr:rowOff>0</xdr:rowOff>
                  </from>
                  <to>
                    <xdr:col>1</xdr:col>
                    <xdr:colOff>8467</xdr:colOff>
                    <xdr:row>34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8467</xdr:colOff>
                    <xdr:row>35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0</xdr:col>
                    <xdr:colOff>0</xdr:colOff>
                    <xdr:row>34</xdr:row>
                    <xdr:rowOff>182033</xdr:rowOff>
                  </from>
                  <to>
                    <xdr:col>1</xdr:col>
                    <xdr:colOff>8467</xdr:colOff>
                    <xdr:row>36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Drop Down 6">
              <controlPr defaultSize="0" autoLine="0" autoPict="0">
                <anchor moveWithCells="1">
                  <from>
                    <xdr:col>0</xdr:col>
                    <xdr:colOff>0</xdr:colOff>
                    <xdr:row>36</xdr:row>
                    <xdr:rowOff>0</xdr:rowOff>
                  </from>
                  <to>
                    <xdr:col>1</xdr:col>
                    <xdr:colOff>8467</xdr:colOff>
                    <xdr:row>37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Drop Down 7">
              <controlPr defaultSize="0" autoLine="0" autoPict="0">
                <anchor moveWithCells="1">
                  <from>
                    <xdr:col>0</xdr:col>
                    <xdr:colOff>0</xdr:colOff>
                    <xdr:row>37</xdr:row>
                    <xdr:rowOff>0</xdr:rowOff>
                  </from>
                  <to>
                    <xdr:col>1</xdr:col>
                    <xdr:colOff>8467</xdr:colOff>
                    <xdr:row>38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Drop Down 8">
              <controlPr defaultSize="0" autoLine="0" autoPict="0">
                <anchor moveWithCells="1">
                  <from>
                    <xdr:col>0</xdr:col>
                    <xdr:colOff>0</xdr:colOff>
                    <xdr:row>38</xdr:row>
                    <xdr:rowOff>0</xdr:rowOff>
                  </from>
                  <to>
                    <xdr:col>1</xdr:col>
                    <xdr:colOff>8467</xdr:colOff>
                    <xdr:row>39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Drop Down 9">
              <controlPr defaultSize="0" autoLine="0" autoPict="0">
                <anchor moveWithCells="1">
                  <from>
                    <xdr:col>0</xdr:col>
                    <xdr:colOff>0</xdr:colOff>
                    <xdr:row>39</xdr:row>
                    <xdr:rowOff>0</xdr:rowOff>
                  </from>
                  <to>
                    <xdr:col>1</xdr:col>
                    <xdr:colOff>8467</xdr:colOff>
                    <xdr:row>40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Drop Down 10">
              <controlPr defaultSize="0" autoLine="0" autoPict="0">
                <anchor moveWithCells="1">
                  <from>
                    <xdr:col>0</xdr:col>
                    <xdr:colOff>0</xdr:colOff>
                    <xdr:row>39</xdr:row>
                    <xdr:rowOff>182033</xdr:rowOff>
                  </from>
                  <to>
                    <xdr:col>1</xdr:col>
                    <xdr:colOff>8467</xdr:colOff>
                    <xdr:row>41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Drop Down 11">
              <controlPr defaultSize="0" autoLine="0" autoPict="0">
                <anchor mov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1</xdr:col>
                    <xdr:colOff>8467</xdr:colOff>
                    <xdr:row>42</xdr:row>
                    <xdr:rowOff>8467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showGridLines="0" zoomScaleNormal="100" workbookViewId="0">
      <selection activeCell="B24" sqref="B24"/>
    </sheetView>
  </sheetViews>
  <sheetFormatPr defaultColWidth="8.87890625" defaultRowHeight="14" x14ac:dyDescent="0.45"/>
  <cols>
    <col min="1" max="1" width="35.64453125" style="1" bestFit="1" customWidth="1"/>
    <col min="2" max="2" width="19.76171875" style="1" bestFit="1" customWidth="1"/>
    <col min="3" max="3" width="12" style="1" bestFit="1" customWidth="1"/>
    <col min="4" max="4" width="18.64453125" style="1" bestFit="1" customWidth="1"/>
    <col min="5" max="5" width="11.52734375" style="1" customWidth="1"/>
    <col min="6" max="6" width="20.3515625" style="1" bestFit="1" customWidth="1"/>
    <col min="7" max="7" width="12.87890625" style="1" bestFit="1" customWidth="1"/>
    <col min="8" max="8" width="13.3515625" style="1" bestFit="1" customWidth="1"/>
    <col min="9" max="9" width="14.64453125" style="1" bestFit="1" customWidth="1"/>
    <col min="10" max="16384" width="8.87890625" style="1"/>
  </cols>
  <sheetData>
    <row r="1" spans="1:9" ht="17.7" thickBot="1" x14ac:dyDescent="0.55000000000000004">
      <c r="A1" s="43" t="s">
        <v>229</v>
      </c>
      <c r="B1" s="44"/>
      <c r="C1" s="44"/>
      <c r="D1" s="44"/>
      <c r="E1" s="44"/>
      <c r="F1" s="44"/>
      <c r="G1" s="44"/>
      <c r="H1" s="44"/>
      <c r="I1" s="45"/>
    </row>
    <row r="2" spans="1:9" ht="15.35" thickBot="1" x14ac:dyDescent="0.5">
      <c r="A2" s="92" t="s">
        <v>50</v>
      </c>
      <c r="B2" s="44"/>
      <c r="C2" s="44"/>
      <c r="D2" s="44"/>
      <c r="E2" s="44"/>
      <c r="F2" s="44"/>
      <c r="G2" s="44"/>
      <c r="H2" s="44"/>
      <c r="I2" s="45"/>
    </row>
    <row r="3" spans="1:9" ht="14.35" thickBot="1" x14ac:dyDescent="0.5">
      <c r="A3" s="31" t="s">
        <v>0</v>
      </c>
      <c r="B3" s="32" t="s">
        <v>13</v>
      </c>
      <c r="C3" s="68" t="s">
        <v>230</v>
      </c>
      <c r="D3" s="68" t="s">
        <v>5</v>
      </c>
      <c r="E3" s="69" t="s">
        <v>231</v>
      </c>
      <c r="F3" s="68" t="s">
        <v>3</v>
      </c>
      <c r="G3" s="68" t="s">
        <v>233</v>
      </c>
      <c r="H3" s="69" t="s">
        <v>234</v>
      </c>
      <c r="I3" s="69" t="s">
        <v>236</v>
      </c>
    </row>
    <row r="4" spans="1:9" x14ac:dyDescent="0.45">
      <c r="A4" s="20" t="str">
        <f>INDEX(Active_Portfolio!A$3:A$22,MATCH(Active_Portfolio!$A33,Active_Portfolio!$K$3:$K$22,0))</f>
        <v>Angel One Ltd.</v>
      </c>
      <c r="B4" s="2" t="str">
        <f>INDEX(Active_Portfolio!B$3:B$22,MATCH(Active_Portfolio!$A33,Active_Portfolio!$K$3:$K$22,0))</f>
        <v>Finance</v>
      </c>
      <c r="C4" s="65">
        <f>INDEX(Regression_Outputs!B$28:B$37,MATCH('Information Ratio &amp; Allocation'!$A4,Regression_Outputs!$A$28:$A$37,0))</f>
        <v>0.13497862383864068</v>
      </c>
      <c r="D4" s="8">
        <f>INDEX(Regression_Outputs!$F$28:$F$37,MATCH('Information Ratio &amp; Allocation'!A4,Regression_Outputs!$A$28:$A$37,0))</f>
        <v>2.2572669794344628E-2</v>
      </c>
      <c r="E4" s="93">
        <f>C4*D4</f>
        <v>3.0468279052046901E-3</v>
      </c>
      <c r="F4" s="65">
        <f>INDEX(Regression_Outputs!$D$28:$D$37,MATCH('Information Ratio &amp; Allocation'!A4,Regression_Outputs!$A$28:$A$37,0))</f>
        <v>1.8158703939184007E-2</v>
      </c>
      <c r="G4" s="8">
        <f>D4^2</f>
        <v>5.0952542164451838E-4</v>
      </c>
      <c r="H4" s="94">
        <f>F4*G4</f>
        <v>9.2523212811307081E-6</v>
      </c>
      <c r="I4" s="85"/>
    </row>
    <row r="5" spans="1:9" x14ac:dyDescent="0.45">
      <c r="A5" s="22" t="str">
        <f>INDEX(Active_Portfolio!A$3:A$22,MATCH(Active_Portfolio!$A34,Active_Portfolio!$K$3:$K$22,0))</f>
        <v>Birlasoft Ltd.</v>
      </c>
      <c r="B5" s="11" t="str">
        <f>INDEX(Active_Portfolio!B$3:B$22,MATCH(Active_Portfolio!$A34,Active_Portfolio!$K$3:$K$22,0))</f>
        <v>Software &amp; IT Services</v>
      </c>
      <c r="C5" s="60">
        <f>INDEX(Regression_Outputs!B$28:B$37,MATCH('Information Ratio &amp; Allocation'!$A5,Regression_Outputs!$A$28:$A$37,0))</f>
        <v>1.8278305807139239E-2</v>
      </c>
      <c r="D5" s="17">
        <f>INDEX(Regression_Outputs!$F$28:$F$37,MATCH('Information Ratio &amp; Allocation'!A5,Regression_Outputs!$A$28:$A$37,0))</f>
        <v>1.0859307173063139E-2</v>
      </c>
      <c r="E5" s="95">
        <f t="shared" ref="E5:E13" si="0">C5*D5</f>
        <v>1.9848973736290876E-4</v>
      </c>
      <c r="F5" s="60">
        <f>INDEX(Regression_Outputs!$D$28:$D$37,MATCH('Information Ratio &amp; Allocation'!A5,Regression_Outputs!$A$28:$A$37,0))</f>
        <v>5.1113615474489846E-3</v>
      </c>
      <c r="G5" s="17">
        <f t="shared" ref="G5:G13" si="1">D5^2</f>
        <v>1.1792455227894053E-4</v>
      </c>
      <c r="H5" s="96">
        <f t="shared" ref="H5:H13" si="2">F5*G5</f>
        <v>6.0275502201871421E-7</v>
      </c>
      <c r="I5" s="86"/>
    </row>
    <row r="6" spans="1:9" x14ac:dyDescent="0.45">
      <c r="A6" s="22" t="str">
        <f>INDEX(Active_Portfolio!A$3:A$22,MATCH(Active_Portfolio!$A35,Active_Portfolio!$K$3:$K$22,0))</f>
        <v>JSW Energy Ltd.</v>
      </c>
      <c r="B6" s="11" t="str">
        <f>INDEX(Active_Portfolio!B$3:B$22,MATCH(Active_Portfolio!$A35,Active_Portfolio!$K$3:$K$22,0))</f>
        <v>Power</v>
      </c>
      <c r="C6" s="60">
        <f>INDEX(Regression_Outputs!B$28:B$37,MATCH('Information Ratio &amp; Allocation'!$A6,Regression_Outputs!$A$28:$A$37,0))</f>
        <v>1.9544738366479908E-2</v>
      </c>
      <c r="D6" s="17">
        <f>INDEX(Regression_Outputs!$F$28:$F$37,MATCH('Information Ratio &amp; Allocation'!A6,Regression_Outputs!$A$28:$A$37,0))</f>
        <v>9.6782294804177767E-3</v>
      </c>
      <c r="E6" s="95">
        <f t="shared" si="0"/>
        <v>1.8915846304551822E-4</v>
      </c>
      <c r="F6" s="60">
        <f>INDEX(Regression_Outputs!$D$28:$D$37,MATCH('Information Ratio &amp; Allocation'!A6,Regression_Outputs!$A$28:$A$37,0))</f>
        <v>6.1324882695850532E-3</v>
      </c>
      <c r="G6" s="17">
        <f t="shared" si="1"/>
        <v>9.366812587562775E-5</v>
      </c>
      <c r="H6" s="96">
        <f t="shared" si="2"/>
        <v>5.7441868316630334E-7</v>
      </c>
      <c r="I6" s="86"/>
    </row>
    <row r="7" spans="1:9" x14ac:dyDescent="0.45">
      <c r="A7" s="22" t="str">
        <f>INDEX(Active_Portfolio!A$3:A$22,MATCH(Active_Portfolio!$A36,Active_Portfolio!$K$3:$K$22,0))</f>
        <v>Tata Motors Ltd.</v>
      </c>
      <c r="B7" s="11" t="str">
        <f>INDEX(Active_Portfolio!B$3:B$22,MATCH(Active_Portfolio!$A36,Active_Portfolio!$K$3:$K$22,0))</f>
        <v>Automobile &amp; Ancillaries</v>
      </c>
      <c r="C7" s="60">
        <f>INDEX(Regression_Outputs!B$28:B$37,MATCH('Information Ratio &amp; Allocation'!$A7,Regression_Outputs!$A$28:$A$37,0))</f>
        <v>2.5839495810671798E-2</v>
      </c>
      <c r="D7" s="17">
        <f>INDEX(Regression_Outputs!$F$28:$F$37,MATCH('Information Ratio &amp; Allocation'!A7,Regression_Outputs!$A$28:$A$37,0))</f>
        <v>1.9797282185996436E-2</v>
      </c>
      <c r="E7" s="95">
        <f t="shared" si="0"/>
        <v>5.1155179010774232E-4</v>
      </c>
      <c r="F7" s="60">
        <f>INDEX(Regression_Outputs!$D$28:$D$37,MATCH('Information Ratio &amp; Allocation'!A7,Regression_Outputs!$A$28:$A$37,0))</f>
        <v>3.9635217181945839E-3</v>
      </c>
      <c r="G7" s="17">
        <f t="shared" si="1"/>
        <v>3.9193238195197184E-4</v>
      </c>
      <c r="H7" s="96">
        <f t="shared" si="2"/>
        <v>1.5534325079303754E-6</v>
      </c>
      <c r="I7" s="86"/>
    </row>
    <row r="8" spans="1:9" x14ac:dyDescent="0.45">
      <c r="A8" s="22" t="str">
        <f>INDEX(Active_Portfolio!A$3:A$22,MATCH(Active_Portfolio!$A37,Active_Portfolio!$K$3:$K$22,0))</f>
        <v>HCL Technologies Ltd.</v>
      </c>
      <c r="B8" s="11" t="str">
        <f>INDEX(Active_Portfolio!B$3:B$22,MATCH(Active_Portfolio!$A37,Active_Portfolio!$K$3:$K$22,0))</f>
        <v>Software &amp; IT Services</v>
      </c>
      <c r="C8" s="60">
        <f>INDEX(Regression_Outputs!B$28:B$37,MATCH('Information Ratio &amp; Allocation'!$A8,Regression_Outputs!$A$28:$A$37,0))</f>
        <v>2.8649171383756111E-3</v>
      </c>
      <c r="D8" s="17">
        <f>INDEX(Regression_Outputs!$F$28:$F$37,MATCH('Information Ratio &amp; Allocation'!A8,Regression_Outputs!$A$28:$A$37,0))</f>
        <v>2.6542616168852692E-3</v>
      </c>
      <c r="E8" s="95">
        <f t="shared" si="0"/>
        <v>7.604239595947168E-6</v>
      </c>
      <c r="F8" s="60">
        <f>INDEX(Regression_Outputs!$D$28:$D$37,MATCH('Information Ratio &amp; Allocation'!A8,Regression_Outputs!$A$28:$A$37,0))</f>
        <v>3.277714475043496E-3</v>
      </c>
      <c r="G8" s="17">
        <f t="shared" si="1"/>
        <v>7.045104730870404E-6</v>
      </c>
      <c r="H8" s="96">
        <f t="shared" si="2"/>
        <v>2.3091841754571335E-8</v>
      </c>
      <c r="I8" s="86"/>
    </row>
    <row r="9" spans="1:9" x14ac:dyDescent="0.45">
      <c r="A9" s="22" t="str">
        <f>INDEX(Active_Portfolio!A$3:A$22,MATCH(Active_Portfolio!$A38,Active_Portfolio!$K$3:$K$22,0))</f>
        <v>Emami Ltd.</v>
      </c>
      <c r="B9" s="11" t="str">
        <f>INDEX(Active_Portfolio!B$3:B$22,MATCH(Active_Portfolio!$A38,Active_Portfolio!$K$3:$K$22,0))</f>
        <v>FMCG</v>
      </c>
      <c r="C9" s="60">
        <f>INDEX(Regression_Outputs!B$28:B$37,MATCH('Information Ratio &amp; Allocation'!$A9,Regression_Outputs!$A$28:$A$37,0))</f>
        <v>0.15265164392515718</v>
      </c>
      <c r="D9" s="17">
        <f>INDEX(Regression_Outputs!$F$28:$F$37,MATCH('Information Ratio &amp; Allocation'!A9,Regression_Outputs!$A$28:$A$37,0))</f>
        <v>0.15456462741477597</v>
      </c>
      <c r="E9" s="95">
        <f t="shared" si="0"/>
        <v>2.359454446754497E-2</v>
      </c>
      <c r="F9" s="60">
        <f>INDEX(Regression_Outputs!$D$28:$D$37,MATCH('Information Ratio &amp; Allocation'!A9,Regression_Outputs!$A$28:$A$37,0))</f>
        <v>2.9991221527429853E-3</v>
      </c>
      <c r="G9" s="17">
        <f t="shared" si="1"/>
        <v>2.3890224047868516E-2</v>
      </c>
      <c r="H9" s="96">
        <f t="shared" si="2"/>
        <v>7.1649700175955658E-5</v>
      </c>
      <c r="I9" s="86"/>
    </row>
    <row r="10" spans="1:9" x14ac:dyDescent="0.45">
      <c r="A10" s="22" t="str">
        <f>INDEX(Active_Portfolio!A$3:A$22,MATCH(Active_Portfolio!$A39,Active_Portfolio!$K$3:$K$22,0))</f>
        <v>Oracle Financial Services Software Ltd.</v>
      </c>
      <c r="B10" s="11" t="str">
        <f>INDEX(Active_Portfolio!B$3:B$22,MATCH(Active_Portfolio!$A39,Active_Portfolio!$K$3:$K$22,0))</f>
        <v>Software &amp; IT Services</v>
      </c>
      <c r="C10" s="60">
        <f>INDEX(Regression_Outputs!B$28:B$37,MATCH('Information Ratio &amp; Allocation'!$A10,Regression_Outputs!$A$28:$A$37,0))</f>
        <v>4.6246753246748096E-4</v>
      </c>
      <c r="D10" s="17">
        <f>INDEX(Regression_Outputs!$F$28:$F$37,MATCH('Information Ratio &amp; Allocation'!A10,Regression_Outputs!$A$28:$A$37,0))</f>
        <v>1.3326007660415093E-4</v>
      </c>
      <c r="E10" s="95">
        <f t="shared" si="0"/>
        <v>6.1628458803549169E-8</v>
      </c>
      <c r="F10" s="60">
        <f>INDEX(Regression_Outputs!$D$28:$D$37,MATCH('Information Ratio &amp; Allocation'!A10,Regression_Outputs!$A$28:$A$37,0))</f>
        <v>1.0538625466474005E-2</v>
      </c>
      <c r="G10" s="17">
        <f t="shared" si="1"/>
        <v>1.7758248016544174E-8</v>
      </c>
      <c r="H10" s="96">
        <f t="shared" si="2"/>
        <v>1.8714752478711391E-10</v>
      </c>
      <c r="I10" s="86"/>
    </row>
    <row r="11" spans="1:9" x14ac:dyDescent="0.45">
      <c r="A11" s="22" t="str">
        <f>INDEX(Active_Portfolio!A$3:A$22,MATCH(Active_Portfolio!$A40,Active_Portfolio!$K$3:$K$22,0))</f>
        <v>United Spirits Ltd.</v>
      </c>
      <c r="B11" s="11" t="str">
        <f>INDEX(Active_Portfolio!B$3:B$22,MATCH(Active_Portfolio!$A40,Active_Portfolio!$K$3:$K$22,0))</f>
        <v>Alcohol</v>
      </c>
      <c r="C11" s="60">
        <f>INDEX(Regression_Outputs!B$28:B$37,MATCH('Information Ratio &amp; Allocation'!$A11,Regression_Outputs!$A$28:$A$37,0))</f>
        <v>9.4664789081885803E-2</v>
      </c>
      <c r="D11" s="17">
        <f>INDEX(Regression_Outputs!$F$28:$F$37,MATCH('Information Ratio &amp; Allocation'!A11,Regression_Outputs!$A$28:$A$37,0))</f>
        <v>6.8601628074939511E-2</v>
      </c>
      <c r="E11" s="95">
        <f t="shared" si="0"/>
        <v>6.4941586523881243E-3</v>
      </c>
      <c r="F11" s="60">
        <f>INDEX(Regression_Outputs!$D$28:$D$37,MATCH('Information Ratio &amp; Allocation'!A11,Regression_Outputs!$A$28:$A$37,0))</f>
        <v>4.1904130094687873E-3</v>
      </c>
      <c r="G11" s="17">
        <f t="shared" si="1"/>
        <v>4.7061833745323288E-3</v>
      </c>
      <c r="H11" s="96">
        <f t="shared" si="2"/>
        <v>1.9720852037585991E-5</v>
      </c>
      <c r="I11" s="86"/>
    </row>
    <row r="12" spans="1:9" x14ac:dyDescent="0.45">
      <c r="A12" s="22" t="str">
        <f>INDEX(Active_Portfolio!A$3:A$22,MATCH(Active_Portfolio!$A41,Active_Portfolio!$K$3:$K$22,0))</f>
        <v>Sunteck Realty Ltd.</v>
      </c>
      <c r="B12" s="11" t="str">
        <f>INDEX(Active_Portfolio!B$3:B$22,MATCH(Active_Portfolio!$A41,Active_Portfolio!$K$3:$K$22,0))</f>
        <v>Real Estate</v>
      </c>
      <c r="C12" s="60">
        <f>INDEX(Regression_Outputs!B$28:B$37,MATCH('Information Ratio &amp; Allocation'!$A12,Regression_Outputs!$A$28:$A$37,0))</f>
        <v>0.45785382541720177</v>
      </c>
      <c r="D12" s="17">
        <f>INDEX(Regression_Outputs!$F$28:$F$37,MATCH('Information Ratio &amp; Allocation'!A12,Regression_Outputs!$A$28:$A$37,0))</f>
        <v>0.55260988519697452</v>
      </c>
      <c r="E12" s="95">
        <f t="shared" si="0"/>
        <v>0.25301454990079547</v>
      </c>
      <c r="F12" s="60">
        <f>INDEX(Regression_Outputs!$D$28:$D$37,MATCH('Information Ratio &amp; Allocation'!A12,Regression_Outputs!$A$28:$A$37,0))</f>
        <v>2.5160019776460096E-3</v>
      </c>
      <c r="G12" s="17">
        <f t="shared" si="1"/>
        <v>0.30537768521741337</v>
      </c>
      <c r="H12" s="96">
        <f t="shared" si="2"/>
        <v>7.683308599359727E-4</v>
      </c>
      <c r="I12" s="86"/>
    </row>
    <row r="13" spans="1:9" ht="14.35" thickBot="1" x14ac:dyDescent="0.5">
      <c r="A13" s="73" t="str">
        <f>INDEX(Active_Portfolio!A$3:A$22,MATCH(Active_Portfolio!$A42,Active_Portfolio!$K$3:$K$22,0))</f>
        <v>Gujarat Gas Ltd.</v>
      </c>
      <c r="B13" s="72" t="str">
        <f>INDEX(Active_Portfolio!B$3:B$22,MATCH(Active_Portfolio!$A42,Active_Portfolio!$K$3:$K$22,0))</f>
        <v>Industrial Gases &amp; Fuels</v>
      </c>
      <c r="C13" s="60">
        <f>INDEX(Regression_Outputs!B$28:B$37,MATCH('Information Ratio &amp; Allocation'!$A13,Regression_Outputs!$A$28:$A$37,0))</f>
        <v>0.1085415565328085</v>
      </c>
      <c r="D13" s="17">
        <f>INDEX(Regression_Outputs!$F$28:$F$37,MATCH('Information Ratio &amp; Allocation'!A13,Regression_Outputs!$A$28:$A$37,0))</f>
        <v>0.15852884898599859</v>
      </c>
      <c r="E13" s="95">
        <f t="shared" si="0"/>
        <v>1.7206968024294826E-2</v>
      </c>
      <c r="F13" s="60">
        <f>INDEX(Regression_Outputs!$D$28:$D$37,MATCH('Information Ratio &amp; Allocation'!A13,Regression_Outputs!$A$28:$A$37,0))</f>
        <v>2.0791724852174797E-3</v>
      </c>
      <c r="G13" s="17">
        <f t="shared" si="1"/>
        <v>2.5131395960825545E-2</v>
      </c>
      <c r="H13" s="96">
        <f t="shared" si="2"/>
        <v>5.2252506996854181E-5</v>
      </c>
      <c r="I13" s="87"/>
    </row>
    <row r="14" spans="1:9" ht="14.35" thickBot="1" x14ac:dyDescent="0.5">
      <c r="A14" s="97" t="s">
        <v>232</v>
      </c>
      <c r="B14" s="98"/>
      <c r="C14" s="98"/>
      <c r="D14" s="98"/>
      <c r="E14" s="99">
        <f>SUM(E4:E13)</f>
        <v>0.304263914808799</v>
      </c>
      <c r="F14" s="98"/>
      <c r="G14" s="98"/>
      <c r="H14" s="100"/>
      <c r="I14" s="101"/>
    </row>
    <row r="15" spans="1:9" ht="14.35" thickBot="1" x14ac:dyDescent="0.5">
      <c r="A15" s="102" t="s">
        <v>235</v>
      </c>
      <c r="B15" s="88"/>
      <c r="C15" s="88"/>
      <c r="D15" s="88"/>
      <c r="E15" s="88"/>
      <c r="F15" s="88"/>
      <c r="G15" s="88"/>
      <c r="H15" s="103">
        <f>SUM(H4:H13)</f>
        <v>9.239601256298939E-4</v>
      </c>
      <c r="I15" s="100"/>
    </row>
    <row r="16" spans="1:9" ht="14.35" thickBot="1" x14ac:dyDescent="0.5">
      <c r="A16" s="102" t="s">
        <v>243</v>
      </c>
      <c r="B16" s="88"/>
      <c r="C16" s="88"/>
      <c r="D16" s="88"/>
      <c r="E16" s="88"/>
      <c r="F16" s="88"/>
      <c r="G16" s="88"/>
      <c r="H16" s="88"/>
      <c r="I16" s="127">
        <f>($E$14/SQRT($H$15))/100</f>
        <v>0.10009763906584579</v>
      </c>
    </row>
    <row r="17" spans="1:6" ht="14.35" thickBot="1" x14ac:dyDescent="0.5"/>
    <row r="18" spans="1:6" ht="17.7" thickBot="1" x14ac:dyDescent="0.55000000000000004">
      <c r="A18" s="43" t="s">
        <v>237</v>
      </c>
      <c r="B18" s="75"/>
      <c r="D18" s="43" t="s">
        <v>250</v>
      </c>
      <c r="E18" s="129"/>
      <c r="F18" s="130"/>
    </row>
    <row r="19" spans="1:6" ht="14.35" thickBot="1" x14ac:dyDescent="0.5">
      <c r="A19" s="104" t="s">
        <v>239</v>
      </c>
      <c r="B19" s="105">
        <v>0.18</v>
      </c>
      <c r="D19" s="110" t="s">
        <v>251</v>
      </c>
      <c r="E19" s="83"/>
      <c r="F19" s="133">
        <v>1000000000</v>
      </c>
    </row>
    <row r="20" spans="1:6" ht="14.35" thickBot="1" x14ac:dyDescent="0.5">
      <c r="A20" s="104" t="s">
        <v>240</v>
      </c>
      <c r="B20" s="106">
        <f>B19^2</f>
        <v>3.2399999999999998E-2</v>
      </c>
      <c r="D20" s="104"/>
      <c r="F20" s="128"/>
    </row>
    <row r="21" spans="1:6" ht="14.35" thickBot="1" x14ac:dyDescent="0.5">
      <c r="A21" s="104" t="s">
        <v>244</v>
      </c>
      <c r="B21" s="107">
        <f>(0.176-0.065)/B20</f>
        <v>3.4259259259259256</v>
      </c>
      <c r="D21" s="131" t="s">
        <v>252</v>
      </c>
      <c r="E21" s="83"/>
      <c r="F21" s="132">
        <f>$B$24*$F$19</f>
        <v>244313582.78041881</v>
      </c>
    </row>
    <row r="22" spans="1:6" ht="14.35" thickBot="1" x14ac:dyDescent="0.5">
      <c r="A22" s="1" t="s">
        <v>247</v>
      </c>
      <c r="B22" s="107">
        <f>Regression_Outputs!G38</f>
        <v>1.7458276164963644</v>
      </c>
      <c r="D22" s="104"/>
      <c r="F22" s="128"/>
    </row>
    <row r="23" spans="1:6" ht="14.35" thickBot="1" x14ac:dyDescent="0.5">
      <c r="A23" s="108" t="s">
        <v>245</v>
      </c>
      <c r="B23" s="109">
        <f>(E14/H15)/B21/100</f>
        <v>0.96121214827780166</v>
      </c>
      <c r="D23" s="131" t="s">
        <v>227</v>
      </c>
      <c r="E23" s="83"/>
      <c r="F23" s="132">
        <f>$B$25*$F$19</f>
        <v>755686417.21958113</v>
      </c>
    </row>
    <row r="24" spans="1:6" ht="14.35" thickBot="1" x14ac:dyDescent="0.5">
      <c r="A24" s="110" t="s">
        <v>246</v>
      </c>
      <c r="B24" s="111">
        <f>MIN(B23/1+(1-B22)*B23,100)</f>
        <v>0.24431358278041881</v>
      </c>
    </row>
    <row r="25" spans="1:6" ht="14.35" thickBot="1" x14ac:dyDescent="0.5">
      <c r="A25" s="110" t="s">
        <v>242</v>
      </c>
      <c r="B25" s="111">
        <f>MAX(0,1-B24)</f>
        <v>0.75568641721958119</v>
      </c>
    </row>
    <row r="27" spans="1:6" x14ac:dyDescent="0.45">
      <c r="B27" s="183" t="s">
        <v>238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8"/>
  <sheetViews>
    <sheetView showGridLines="0" tabSelected="1" topLeftCell="A61" zoomScale="97" workbookViewId="0">
      <selection activeCell="L74" sqref="L74"/>
    </sheetView>
  </sheetViews>
  <sheetFormatPr defaultColWidth="8.87890625" defaultRowHeight="14" x14ac:dyDescent="0.45"/>
  <cols>
    <col min="1" max="1" width="35.1171875" style="1" customWidth="1"/>
    <col min="2" max="2" width="27.41015625" style="1" customWidth="1"/>
    <col min="3" max="3" width="11.234375" style="1" bestFit="1" customWidth="1"/>
    <col min="4" max="4" width="16.1171875" style="1" bestFit="1" customWidth="1"/>
    <col min="5" max="5" width="20" style="1" bestFit="1" customWidth="1"/>
    <col min="6" max="6" width="11.3515625" style="1" bestFit="1" customWidth="1"/>
    <col min="7" max="7" width="18.234375" style="1" bestFit="1" customWidth="1"/>
    <col min="8" max="16384" width="8.87890625" style="1"/>
  </cols>
  <sheetData>
    <row r="1" spans="1:6" ht="17.7" thickBot="1" x14ac:dyDescent="0.55000000000000004">
      <c r="A1" s="43" t="s">
        <v>249</v>
      </c>
      <c r="B1" s="44"/>
      <c r="C1" s="44"/>
      <c r="D1" s="44"/>
      <c r="E1" s="44"/>
      <c r="F1" s="45"/>
    </row>
    <row r="2" spans="1:6" ht="15.35" thickBot="1" x14ac:dyDescent="0.5">
      <c r="A2" s="92" t="s">
        <v>253</v>
      </c>
      <c r="B2" s="44"/>
      <c r="C2" s="44"/>
      <c r="D2" s="44"/>
      <c r="E2" s="44"/>
      <c r="F2" s="45"/>
    </row>
    <row r="3" spans="1:6" ht="14.35" thickBot="1" x14ac:dyDescent="0.5">
      <c r="A3" s="104"/>
      <c r="F3" s="128"/>
    </row>
    <row r="4" spans="1:6" ht="17.7" thickBot="1" x14ac:dyDescent="0.55000000000000004">
      <c r="A4" s="43" t="s">
        <v>50</v>
      </c>
      <c r="B4" s="44"/>
      <c r="C4" s="44"/>
      <c r="D4" s="44"/>
      <c r="E4" s="44"/>
      <c r="F4" s="45"/>
    </row>
    <row r="5" spans="1:6" ht="15.35" thickBot="1" x14ac:dyDescent="0.5">
      <c r="A5" s="148" t="str">
        <f>"Portfolio Weightage - "&amp;MROUND('Information Ratio &amp; Allocation'!B24*100,0.01)&amp;"%"</f>
        <v>Portfolio Weightage - 24.43%</v>
      </c>
      <c r="B5" s="146"/>
      <c r="C5" s="146"/>
      <c r="D5" s="146"/>
      <c r="E5" s="146"/>
      <c r="F5" s="147"/>
    </row>
    <row r="6" spans="1:6" ht="15.35" thickBot="1" x14ac:dyDescent="0.5">
      <c r="A6" s="149" t="str">
        <f>"Investment - Rs. "&amp;MROUND('Information Ratio &amp; Allocation'!F21,0.01)</f>
        <v>Investment - Rs. 244313582.78</v>
      </c>
      <c r="B6" s="44"/>
      <c r="C6" s="44"/>
      <c r="D6" s="44"/>
      <c r="E6" s="44"/>
      <c r="F6" s="45"/>
    </row>
    <row r="7" spans="1:6" ht="14.35" thickBot="1" x14ac:dyDescent="0.5">
      <c r="A7" s="167" t="s">
        <v>0</v>
      </c>
      <c r="B7" s="168" t="s">
        <v>13</v>
      </c>
      <c r="C7" s="169" t="s">
        <v>258</v>
      </c>
      <c r="D7" s="169" t="s">
        <v>254</v>
      </c>
      <c r="E7" s="170" t="s">
        <v>261</v>
      </c>
      <c r="F7" s="169" t="s">
        <v>260</v>
      </c>
    </row>
    <row r="8" spans="1:6" x14ac:dyDescent="0.45">
      <c r="A8" s="20" t="str">
        <f>'Information Ratio &amp; Allocation'!A4</f>
        <v>Angel One Ltd.</v>
      </c>
      <c r="B8" s="164" t="str">
        <f>'Information Ratio &amp; Allocation'!B4</f>
        <v>Finance</v>
      </c>
      <c r="C8" s="93">
        <f>'Information Ratio &amp; Allocation'!D4*'Information Ratio &amp; Allocation'!$B$24</f>
        <v>5.5148098303756761E-3</v>
      </c>
      <c r="D8" s="165">
        <f>C8*'Information Ratio &amp; Allocation'!$F$19</f>
        <v>5514809.830375676</v>
      </c>
      <c r="E8" s="166">
        <f>Active_Portfolio!E33</f>
        <v>0.36980862383864066</v>
      </c>
      <c r="F8" s="93">
        <f>C8*E8</f>
        <v>2.0394242341030362E-3</v>
      </c>
    </row>
    <row r="9" spans="1:6" x14ac:dyDescent="0.45">
      <c r="A9" s="22" t="str">
        <f>'Information Ratio &amp; Allocation'!A5</f>
        <v>Birlasoft Ltd.</v>
      </c>
      <c r="B9" s="151" t="str">
        <f>'Information Ratio &amp; Allocation'!B5</f>
        <v>Software &amp; IT Services</v>
      </c>
      <c r="C9" s="95">
        <f>'Information Ratio &amp; Allocation'!D5*'Information Ratio &amp; Allocation'!$B$24</f>
        <v>2.6530762419641569E-3</v>
      </c>
      <c r="D9" s="155">
        <f>C9*'Information Ratio &amp; Allocation'!$F$19</f>
        <v>2653076.2419641567</v>
      </c>
      <c r="E9" s="162">
        <f>Active_Portfolio!E34</f>
        <v>0.24533830580713922</v>
      </c>
      <c r="F9" s="95">
        <f t="shared" ref="F9:F17" si="0">C9*E9</f>
        <v>6.5090123038065797E-4</v>
      </c>
    </row>
    <row r="10" spans="1:6" x14ac:dyDescent="0.45">
      <c r="A10" s="22" t="str">
        <f>'Information Ratio &amp; Allocation'!A6</f>
        <v>JSW Energy Ltd.</v>
      </c>
      <c r="B10" s="151" t="str">
        <f>'Information Ratio &amp; Allocation'!B6</f>
        <v>Power</v>
      </c>
      <c r="C10" s="95">
        <f>'Information Ratio &amp; Allocation'!D6*'Information Ratio &amp; Allocation'!$B$24</f>
        <v>2.3645229193319382E-3</v>
      </c>
      <c r="D10" s="155">
        <f>C10*'Information Ratio &amp; Allocation'!$F$19</f>
        <v>2364522.919331938</v>
      </c>
      <c r="E10" s="162">
        <f>Active_Portfolio!E35</f>
        <v>0.2177447383664799</v>
      </c>
      <c r="F10" s="95">
        <f t="shared" si="0"/>
        <v>5.1486242443147818E-4</v>
      </c>
    </row>
    <row r="11" spans="1:6" x14ac:dyDescent="0.45">
      <c r="A11" s="22" t="str">
        <f>'Information Ratio &amp; Allocation'!A7</f>
        <v>Tata Motors Ltd.</v>
      </c>
      <c r="B11" s="151" t="str">
        <f>'Information Ratio &amp; Allocation'!B7</f>
        <v>Automobile &amp; Ancillaries</v>
      </c>
      <c r="C11" s="95">
        <f>'Information Ratio &amp; Allocation'!D7*'Information Ratio &amp; Allocation'!$B$24</f>
        <v>4.8367449401757511E-3</v>
      </c>
      <c r="D11" s="155">
        <f>C11*'Information Ratio &amp; Allocation'!$F$19</f>
        <v>4836744.9401757512</v>
      </c>
      <c r="E11" s="162">
        <f>Active_Portfolio!E36</f>
        <v>0.23180949581067178</v>
      </c>
      <c r="F11" s="95">
        <f t="shared" si="0"/>
        <v>1.1212034059469586E-3</v>
      </c>
    </row>
    <row r="12" spans="1:6" x14ac:dyDescent="0.45">
      <c r="A12" s="22" t="str">
        <f>'Information Ratio &amp; Allocation'!A8</f>
        <v>HCL Technologies Ltd.</v>
      </c>
      <c r="B12" s="151" t="str">
        <f>'Information Ratio &amp; Allocation'!B8</f>
        <v>Software &amp; IT Services</v>
      </c>
      <c r="C12" s="95">
        <f>'Information Ratio &amp; Allocation'!D8*'Information Ratio &amp; Allocation'!$B$24</f>
        <v>6.4847216525778747E-4</v>
      </c>
      <c r="D12" s="155">
        <f>C12*'Information Ratio &amp; Allocation'!$F$19</f>
        <v>648472.16525778745</v>
      </c>
      <c r="E12" s="162">
        <f>Active_Portfolio!E37</f>
        <v>0.1833049171383756</v>
      </c>
      <c r="F12" s="95">
        <f t="shared" si="0"/>
        <v>1.1886813651912175E-4</v>
      </c>
    </row>
    <row r="13" spans="1:6" x14ac:dyDescent="0.45">
      <c r="A13" s="22" t="str">
        <f>'Information Ratio &amp; Allocation'!A9</f>
        <v>Emami Ltd.</v>
      </c>
      <c r="B13" s="151" t="str">
        <f>'Information Ratio &amp; Allocation'!B9</f>
        <v>FMCG</v>
      </c>
      <c r="C13" s="95">
        <f>'Information Ratio &amp; Allocation'!D9*'Information Ratio &amp; Allocation'!$B$24</f>
        <v>3.7762237894824462E-2</v>
      </c>
      <c r="D13" s="155">
        <f>C13*'Information Ratio &amp; Allocation'!$F$19</f>
        <v>37762237.89482446</v>
      </c>
      <c r="E13" s="162">
        <f>Active_Portfolio!E38</f>
        <v>0.28092164392515717</v>
      </c>
      <c r="F13" s="95">
        <f t="shared" si="0"/>
        <v>1.0608229947706955E-2</v>
      </c>
    </row>
    <row r="14" spans="1:6" x14ac:dyDescent="0.45">
      <c r="A14" s="22" t="str">
        <f>'Information Ratio &amp; Allocation'!A10</f>
        <v>Oracle Financial Services Software Ltd.</v>
      </c>
      <c r="B14" s="151" t="str">
        <f>'Information Ratio &amp; Allocation'!B10</f>
        <v>Software &amp; IT Services</v>
      </c>
      <c r="C14" s="95">
        <f>'Information Ratio &amp; Allocation'!D10*'Information Ratio &amp; Allocation'!$B$24</f>
        <v>3.255724675675318E-5</v>
      </c>
      <c r="D14" s="155">
        <f>C14*'Information Ratio &amp; Allocation'!$F$19</f>
        <v>32557.246756753182</v>
      </c>
      <c r="E14" s="162">
        <f>Active_Portfolio!E39</f>
        <v>0.21753246753246747</v>
      </c>
      <c r="F14" s="95">
        <f t="shared" si="0"/>
        <v>7.0822582230599425E-6</v>
      </c>
    </row>
    <row r="15" spans="1:6" x14ac:dyDescent="0.45">
      <c r="A15" s="22" t="str">
        <f>'Information Ratio &amp; Allocation'!A11</f>
        <v>United Spirits Ltd.</v>
      </c>
      <c r="B15" s="151" t="str">
        <f>'Information Ratio &amp; Allocation'!B11</f>
        <v>Alcohol</v>
      </c>
      <c r="C15" s="95">
        <f>'Information Ratio &amp; Allocation'!D11*'Information Ratio &amp; Allocation'!$B$24</f>
        <v>1.6760309539558236E-2</v>
      </c>
      <c r="D15" s="155">
        <f>C15*'Information Ratio &amp; Allocation'!$F$19</f>
        <v>16760309.539558236</v>
      </c>
      <c r="E15" s="162">
        <f>Active_Portfolio!E40</f>
        <v>0.2406947890818858</v>
      </c>
      <c r="F15" s="95">
        <f t="shared" si="0"/>
        <v>4.0341191695710881E-3</v>
      </c>
    </row>
    <row r="16" spans="1:6" x14ac:dyDescent="0.45">
      <c r="A16" s="22" t="str">
        <f>'Information Ratio &amp; Allocation'!A12</f>
        <v>Sunteck Realty Ltd.</v>
      </c>
      <c r="B16" s="151" t="str">
        <f>'Information Ratio &amp; Allocation'!B12</f>
        <v>Real Estate</v>
      </c>
      <c r="C16" s="95">
        <f>'Information Ratio &amp; Allocation'!D12*'Information Ratio &amp; Allocation'!$B$24</f>
        <v>0.13501010093234878</v>
      </c>
      <c r="D16" s="155">
        <f>C16*'Information Ratio &amp; Allocation'!$F$19</f>
        <v>135010100.93234879</v>
      </c>
      <c r="E16" s="162">
        <f>Active_Portfolio!E41</f>
        <v>0.65938382541720175</v>
      </c>
      <c r="F16" s="95">
        <f t="shared" si="0"/>
        <v>8.9023476822734648E-2</v>
      </c>
    </row>
    <row r="17" spans="1:6" ht="14.35" thickBot="1" x14ac:dyDescent="0.5">
      <c r="A17" s="78" t="str">
        <f>'Information Ratio &amp; Allocation'!A13</f>
        <v>Gujarat Gas Ltd.</v>
      </c>
      <c r="B17" s="152" t="str">
        <f>'Information Ratio &amp; Allocation'!B13</f>
        <v>Industrial Gases &amp; Fuels</v>
      </c>
      <c r="C17" s="153">
        <f>'Information Ratio &amp; Allocation'!D13*'Information Ratio &amp; Allocation'!$B$24</f>
        <v>3.8730751069825278E-2</v>
      </c>
      <c r="D17" s="156">
        <f>C17*'Information Ratio &amp; Allocation'!$F$19</f>
        <v>38730751.069825277</v>
      </c>
      <c r="E17" s="162">
        <f>Active_Portfolio!E42</f>
        <v>0.27455155653280849</v>
      </c>
      <c r="F17" s="95">
        <f t="shared" si="0"/>
        <v>1.0633587991905268E-2</v>
      </c>
    </row>
    <row r="18" spans="1:6" ht="14.35" thickBot="1" x14ac:dyDescent="0.5">
      <c r="A18" s="158" t="s">
        <v>255</v>
      </c>
      <c r="B18" s="140"/>
      <c r="C18" s="159">
        <f>SUM(C8:C17)</f>
        <v>0.24431358278041881</v>
      </c>
      <c r="D18" s="160">
        <f>SUM(D8:D17)</f>
        <v>244313582.78041881</v>
      </c>
      <c r="E18" s="139"/>
      <c r="F18" s="163"/>
    </row>
    <row r="19" spans="1:6" ht="14.35" thickBot="1" x14ac:dyDescent="0.5">
      <c r="A19" s="102" t="s">
        <v>263</v>
      </c>
      <c r="B19" s="68"/>
      <c r="C19" s="150"/>
      <c r="D19" s="161"/>
      <c r="E19" s="68"/>
      <c r="F19" s="154">
        <f>SUM(F8:F17)</f>
        <v>0.11875175562152228</v>
      </c>
    </row>
    <row r="20" spans="1:6" ht="14.35" thickBot="1" x14ac:dyDescent="0.5">
      <c r="A20" s="104"/>
      <c r="F20" s="128"/>
    </row>
    <row r="21" spans="1:6" ht="17.7" thickBot="1" x14ac:dyDescent="0.55000000000000004">
      <c r="A21" s="43" t="s">
        <v>227</v>
      </c>
      <c r="B21" s="44"/>
      <c r="C21" s="44"/>
      <c r="D21" s="44"/>
      <c r="E21" s="44"/>
      <c r="F21" s="45"/>
    </row>
    <row r="22" spans="1:6" ht="15.35" thickBot="1" x14ac:dyDescent="0.5">
      <c r="A22" s="145" t="str">
        <f>"Portfolio Weightage - "&amp;MROUND('Information Ratio &amp; Allocation'!B25*100,0.01)&amp;"%"</f>
        <v>Portfolio Weightage - 75.57%</v>
      </c>
      <c r="B22" s="146"/>
      <c r="C22" s="146"/>
      <c r="D22" s="146"/>
      <c r="E22" s="146"/>
      <c r="F22" s="147"/>
    </row>
    <row r="23" spans="1:6" ht="15.35" thickBot="1" x14ac:dyDescent="0.5">
      <c r="A23" s="145" t="str">
        <f>"Investment - Rs. "&amp;MROUND('Information Ratio &amp; Allocation'!F23,0.01)</f>
        <v>Investment - Rs. 755686417.22</v>
      </c>
      <c r="B23" s="146"/>
      <c r="C23" s="146"/>
      <c r="D23" s="146"/>
      <c r="E23" s="146"/>
      <c r="F23" s="147"/>
    </row>
    <row r="24" spans="1:6" ht="14.35" thickBot="1" x14ac:dyDescent="0.5">
      <c r="A24" s="167" t="s">
        <v>0</v>
      </c>
      <c r="B24" s="168" t="s">
        <v>13</v>
      </c>
      <c r="C24" s="169" t="s">
        <v>259</v>
      </c>
      <c r="D24" s="169" t="s">
        <v>254</v>
      </c>
      <c r="E24" s="170" t="s">
        <v>257</v>
      </c>
      <c r="F24" s="169" t="s">
        <v>262</v>
      </c>
    </row>
    <row r="25" spans="1:6" x14ac:dyDescent="0.45">
      <c r="A25" s="20" t="str">
        <f>Passive_Portfolio!A3</f>
        <v>Adani Enterprises Ltd.</v>
      </c>
      <c r="B25" s="164" t="str">
        <f>Passive_Portfolio!B3</f>
        <v>Metals &amp; Mining</v>
      </c>
      <c r="C25" s="93">
        <f>'Information Ratio &amp; Allocation'!$B$25*Passive_Portfolio!H3</f>
        <v>5.2517523989093614E-3</v>
      </c>
      <c r="D25" s="165">
        <f>C25*'Information Ratio &amp; Allocation'!$F$19</f>
        <v>5251752.3989093611</v>
      </c>
      <c r="E25" s="166">
        <f>Passive_Portfolio!K3</f>
        <v>0.636246233318984</v>
      </c>
      <c r="F25" s="93">
        <f t="shared" ref="F25:F56" si="1">E25*C25</f>
        <v>3.3414076821300194E-3</v>
      </c>
    </row>
    <row r="26" spans="1:6" x14ac:dyDescent="0.45">
      <c r="A26" s="22" t="str">
        <f>Passive_Portfolio!A4</f>
        <v>Adani Ports and Special Economic Zone Ltd.</v>
      </c>
      <c r="B26" s="151" t="str">
        <f>Passive_Portfolio!B4</f>
        <v>Services</v>
      </c>
      <c r="C26" s="95">
        <f>'Information Ratio &amp; Allocation'!$B$25*Passive_Portfolio!H4</f>
        <v>6.2671168268390561E-3</v>
      </c>
      <c r="D26" s="155">
        <f>C26*'Information Ratio &amp; Allocation'!$F$19</f>
        <v>6267116.8268390559</v>
      </c>
      <c r="E26" s="162">
        <f>Passive_Portfolio!K4</f>
        <v>0.26213737042285024</v>
      </c>
      <c r="F26" s="171">
        <f t="shared" si="1"/>
        <v>1.6428455251203875E-3</v>
      </c>
    </row>
    <row r="27" spans="1:6" x14ac:dyDescent="0.45">
      <c r="A27" s="22" t="str">
        <f>Passive_Portfolio!A5</f>
        <v>Apollo Hospitals Enterprise Ltd.</v>
      </c>
      <c r="B27" s="151" t="str">
        <f>Passive_Portfolio!B5</f>
        <v>Healthcare</v>
      </c>
      <c r="C27" s="95">
        <f>'Information Ratio &amp; Allocation'!$B$25*Passive_Portfolio!H5</f>
        <v>2.5699754089128498E-2</v>
      </c>
      <c r="D27" s="155">
        <f>C27*'Information Ratio &amp; Allocation'!$F$19</f>
        <v>25699754.089128498</v>
      </c>
      <c r="E27" s="162">
        <f>Passive_Portfolio!K5</f>
        <v>4.151954602774266E-2</v>
      </c>
      <c r="F27" s="171">
        <f t="shared" si="1"/>
        <v>1.0670421228052382E-3</v>
      </c>
    </row>
    <row r="28" spans="1:6" x14ac:dyDescent="0.45">
      <c r="A28" s="22" t="str">
        <f>Passive_Portfolio!A6</f>
        <v>Asian Paints Ltd.</v>
      </c>
      <c r="B28" s="151" t="str">
        <f>Passive_Portfolio!B6</f>
        <v>Consumer Durables</v>
      </c>
      <c r="C28" s="95">
        <f>'Information Ratio &amp; Allocation'!$B$25*Passive_Portfolio!H6</f>
        <v>5.0729775185658146E-3</v>
      </c>
      <c r="D28" s="155">
        <f>C28*'Information Ratio &amp; Allocation'!$F$19</f>
        <v>5072977.5185658149</v>
      </c>
      <c r="E28" s="162">
        <f>Passive_Portfolio!K6</f>
        <v>-1.744910179640724E-2</v>
      </c>
      <c r="F28" s="171">
        <f t="shared" si="1"/>
        <v>-8.8518901132340306E-5</v>
      </c>
    </row>
    <row r="29" spans="1:6" x14ac:dyDescent="0.45">
      <c r="A29" s="22" t="str">
        <f>Passive_Portfolio!A7</f>
        <v>Axis Bank Ltd.</v>
      </c>
      <c r="B29" s="151" t="str">
        <f>Passive_Portfolio!B7</f>
        <v>Financial Services</v>
      </c>
      <c r="C29" s="95">
        <f>'Information Ratio &amp; Allocation'!$B$25*Passive_Portfolio!H7</f>
        <v>1.5888665548296283E-2</v>
      </c>
      <c r="D29" s="155">
        <f>C29*'Information Ratio &amp; Allocation'!$F$19</f>
        <v>15888665.548296284</v>
      </c>
      <c r="E29" s="162">
        <f>Passive_Portfolio!K7</f>
        <v>0.21674605398337521</v>
      </c>
      <c r="F29" s="171">
        <f t="shared" si="1"/>
        <v>3.4438055606548202E-3</v>
      </c>
    </row>
    <row r="30" spans="1:6" x14ac:dyDescent="0.45">
      <c r="A30" s="22" t="str">
        <f>Passive_Portfolio!A8</f>
        <v>Bajaj Auto Ltd.</v>
      </c>
      <c r="B30" s="151" t="str">
        <f>Passive_Portfolio!B8</f>
        <v>Automobile and Auto Components</v>
      </c>
      <c r="C30" s="95">
        <f>'Information Ratio &amp; Allocation'!$B$25*Passive_Portfolio!H8</f>
        <v>1.2304325312935229E-2</v>
      </c>
      <c r="D30" s="155">
        <f>C30*'Information Ratio &amp; Allocation'!$F$19</f>
        <v>12304325.312935229</v>
      </c>
      <c r="E30" s="162">
        <f>Passive_Portfolio!K8</f>
        <v>0.13963730569948196</v>
      </c>
      <c r="F30" s="171">
        <f t="shared" si="1"/>
        <v>1.7181428351482108E-3</v>
      </c>
    </row>
    <row r="31" spans="1:6" x14ac:dyDescent="0.45">
      <c r="A31" s="22" t="str">
        <f>Passive_Portfolio!A9</f>
        <v>Bajaj Finance Ltd.</v>
      </c>
      <c r="B31" s="151" t="str">
        <f>Passive_Portfolio!B9</f>
        <v>Financial Services</v>
      </c>
      <c r="C31" s="95">
        <f>'Information Ratio &amp; Allocation'!$B$25*Passive_Portfolio!H9</f>
        <v>5.3697822661469292E-3</v>
      </c>
      <c r="D31" s="155">
        <f>C31*'Information Ratio &amp; Allocation'!$F$19</f>
        <v>5369782.266146929</v>
      </c>
      <c r="E31" s="162">
        <f>Passive_Portfolio!K9</f>
        <v>0.11594688092846783</v>
      </c>
      <c r="F31" s="171">
        <f t="shared" si="1"/>
        <v>6.2260950502473621E-4</v>
      </c>
    </row>
    <row r="32" spans="1:6" x14ac:dyDescent="0.45">
      <c r="A32" s="22" t="str">
        <f>Passive_Portfolio!A10</f>
        <v>Bajaj Finserv Ltd.</v>
      </c>
      <c r="B32" s="151" t="str">
        <f>Passive_Portfolio!B10</f>
        <v>Financial Services</v>
      </c>
      <c r="C32" s="95">
        <f>'Information Ratio &amp; Allocation'!$B$25*Passive_Portfolio!H10</f>
        <v>2.2148477595078292E-2</v>
      </c>
      <c r="D32" s="155">
        <f>C32*'Information Ratio &amp; Allocation'!$F$19</f>
        <v>22148477.595078293</v>
      </c>
      <c r="E32" s="162">
        <f>Passive_Portfolio!K10</f>
        <v>0.11811343769058746</v>
      </c>
      <c r="F32" s="171">
        <f t="shared" si="1"/>
        <v>2.6160328283676522E-3</v>
      </c>
    </row>
    <row r="33" spans="1:6" x14ac:dyDescent="0.45">
      <c r="A33" s="22" t="str">
        <f>Passive_Portfolio!A11</f>
        <v>Bharat Electronics Ltd.</v>
      </c>
      <c r="B33" s="151" t="str">
        <f>Passive_Portfolio!B11</f>
        <v>Capital Goods</v>
      </c>
      <c r="C33" s="95">
        <f>'Information Ratio &amp; Allocation'!$B$25*Passive_Portfolio!H11</f>
        <v>2.2116567240092238E-2</v>
      </c>
      <c r="D33" s="155">
        <f>C33*'Information Ratio &amp; Allocation'!$F$19</f>
        <v>22116567.240092237</v>
      </c>
      <c r="E33" s="162">
        <f>Passive_Portfolio!K11</f>
        <v>0.10059976009596161</v>
      </c>
      <c r="F33" s="171">
        <f t="shared" si="1"/>
        <v>2.2249213584994831E-3</v>
      </c>
    </row>
    <row r="34" spans="1:6" x14ac:dyDescent="0.45">
      <c r="A34" s="22" t="str">
        <f>Passive_Portfolio!A12</f>
        <v>Bharti Airtel Ltd.</v>
      </c>
      <c r="B34" s="151" t="str">
        <f>Passive_Portfolio!B12</f>
        <v>Telecommunication</v>
      </c>
      <c r="C34" s="95">
        <f>'Information Ratio &amp; Allocation'!$B$25*Passive_Portfolio!H12</f>
        <v>2.4293391697092589E-2</v>
      </c>
      <c r="D34" s="155">
        <f>C34*'Information Ratio &amp; Allocation'!$F$19</f>
        <v>24293391.697092589</v>
      </c>
      <c r="E34" s="162">
        <f>Passive_Portfolio!K12</f>
        <v>6.2374547335747543E-2</v>
      </c>
      <c r="F34" s="171">
        <f t="shared" si="1"/>
        <v>1.515289310356158E-3</v>
      </c>
    </row>
    <row r="35" spans="1:6" x14ac:dyDescent="0.45">
      <c r="A35" s="22" t="str">
        <f>Passive_Portfolio!A13</f>
        <v>Cipla Ltd.</v>
      </c>
      <c r="B35" s="151" t="str">
        <f>Passive_Portfolio!B13</f>
        <v>Healthcare</v>
      </c>
      <c r="C35" s="95">
        <f>'Information Ratio &amp; Allocation'!$B$25*Passive_Portfolio!H13</f>
        <v>9.6423096753035734E-3</v>
      </c>
      <c r="D35" s="155">
        <f>C35*'Information Ratio &amp; Allocation'!$F$19</f>
        <v>9642309.6753035728</v>
      </c>
      <c r="E35" s="162">
        <f>Passive_Portfolio!K13</f>
        <v>7.6005025125628123E-2</v>
      </c>
      <c r="F35" s="171">
        <f t="shared" si="1"/>
        <v>7.3286398914053526E-4</v>
      </c>
    </row>
    <row r="36" spans="1:6" x14ac:dyDescent="0.45">
      <c r="A36" s="22" t="str">
        <f>Passive_Portfolio!A14</f>
        <v>Coal India Ltd.</v>
      </c>
      <c r="B36" s="151" t="str">
        <f>Passive_Portfolio!B14</f>
        <v>Oil Gas &amp; Consumable Fuels</v>
      </c>
      <c r="C36" s="95">
        <f>'Information Ratio &amp; Allocation'!$B$25*Passive_Portfolio!H14</f>
        <v>6.7788358929406932E-3</v>
      </c>
      <c r="D36" s="155">
        <f>C36*'Information Ratio &amp; Allocation'!$F$19</f>
        <v>6778835.8929406935</v>
      </c>
      <c r="E36" s="162">
        <f>Passive_Portfolio!K14</f>
        <v>0.23328880577077205</v>
      </c>
      <c r="F36" s="171">
        <f t="shared" si="1"/>
        <v>1.5814265299801795E-3</v>
      </c>
    </row>
    <row r="37" spans="1:6" x14ac:dyDescent="0.45">
      <c r="A37" s="22" t="str">
        <f>Passive_Portfolio!A15</f>
        <v>Dr. Reddy's Laboratories Ltd.</v>
      </c>
      <c r="B37" s="151" t="str">
        <f>Passive_Portfolio!B15</f>
        <v>Healthcare</v>
      </c>
      <c r="C37" s="95">
        <f>'Information Ratio &amp; Allocation'!$B$25*Passive_Portfolio!H15</f>
        <v>6.0437443419366884E-3</v>
      </c>
      <c r="D37" s="155">
        <f>C37*'Information Ratio &amp; Allocation'!$F$19</f>
        <v>6043744.3419366879</v>
      </c>
      <c r="E37" s="162">
        <f>Passive_Portfolio!K15</f>
        <v>2.7921568627451432E-3</v>
      </c>
      <c r="F37" s="171">
        <f t="shared" si="1"/>
        <v>1.6875082241015654E-5</v>
      </c>
    </row>
    <row r="38" spans="1:6" x14ac:dyDescent="0.45">
      <c r="A38" s="22" t="str">
        <f>Passive_Portfolio!A16</f>
        <v>Eicher Motors Ltd.</v>
      </c>
      <c r="B38" s="151" t="str">
        <f>Passive_Portfolio!B16</f>
        <v>Automobile and Auto Components</v>
      </c>
      <c r="C38" s="95">
        <f>'Information Ratio &amp; Allocation'!$B$25*Passive_Portfolio!H16</f>
        <v>6.2475092593175059E-3</v>
      </c>
      <c r="D38" s="155">
        <f>C38*'Information Ratio &amp; Allocation'!$F$19</f>
        <v>6247509.2593175061</v>
      </c>
      <c r="E38" s="162">
        <f>Passive_Portfolio!K16</f>
        <v>-6.3962900505902254E-2</v>
      </c>
      <c r="F38" s="171">
        <f t="shared" si="1"/>
        <v>-3.9960881316342871E-4</v>
      </c>
    </row>
    <row r="39" spans="1:6" x14ac:dyDescent="0.45">
      <c r="A39" s="22" t="str">
        <f>Passive_Portfolio!A17</f>
        <v>Eternal Ltd.</v>
      </c>
      <c r="B39" s="151" t="str">
        <f>Passive_Portfolio!B17</f>
        <v>Consumer Services</v>
      </c>
      <c r="C39" s="95">
        <f>'Information Ratio &amp; Allocation'!$B$25*Passive_Portfolio!H17</f>
        <v>2.8216443049835713E-2</v>
      </c>
      <c r="D39" s="155">
        <f>C39*'Information Ratio &amp; Allocation'!$F$19</f>
        <v>28216443.049835712</v>
      </c>
      <c r="E39" s="162">
        <f>Passive_Portfolio!K17</f>
        <v>-4.7309803921568583E-2</v>
      </c>
      <c r="F39" s="171">
        <f t="shared" si="1"/>
        <v>-1.3349143880518341E-3</v>
      </c>
    </row>
    <row r="40" spans="1:6" x14ac:dyDescent="0.45">
      <c r="A40" s="22" t="str">
        <f>Passive_Portfolio!A18</f>
        <v>Grasim Industries Ltd.</v>
      </c>
      <c r="B40" s="151" t="str">
        <f>Passive_Portfolio!B18</f>
        <v>Construction Materials</v>
      </c>
      <c r="C40" s="95">
        <f>'Information Ratio &amp; Allocation'!$B$25*Passive_Portfolio!H18</f>
        <v>7.2970908148828478E-3</v>
      </c>
      <c r="D40" s="155">
        <f>C40*'Information Ratio &amp; Allocation'!$F$19</f>
        <v>7297090.8148828475</v>
      </c>
      <c r="E40" s="162">
        <f>Passive_Portfolio!K18</f>
        <v>0.1541954555167746</v>
      </c>
      <c r="F40" s="171">
        <f t="shared" si="1"/>
        <v>1.1251782421481326E-3</v>
      </c>
    </row>
    <row r="41" spans="1:6" x14ac:dyDescent="0.45">
      <c r="A41" s="22" t="str">
        <f>Passive_Portfolio!A19</f>
        <v>HCL Technologies Ltd.</v>
      </c>
      <c r="B41" s="151" t="str">
        <f>Passive_Portfolio!B19</f>
        <v>Information Technology</v>
      </c>
      <c r="C41" s="95">
        <f>'Information Ratio &amp; Allocation'!$B$25*Passive_Portfolio!H19</f>
        <v>1.5850603799577978E-2</v>
      </c>
      <c r="D41" s="155">
        <f>C41*'Information Ratio &amp; Allocation'!$F$19</f>
        <v>15850603.799577978</v>
      </c>
      <c r="E41" s="162">
        <f>Passive_Portfolio!K19</f>
        <v>0.18265966873423767</v>
      </c>
      <c r="F41" s="171">
        <f t="shared" si="1"/>
        <v>2.8952660392685624E-3</v>
      </c>
    </row>
    <row r="42" spans="1:6" x14ac:dyDescent="0.45">
      <c r="A42" s="22" t="str">
        <f>Passive_Portfolio!A20</f>
        <v>HDFC Bank Ltd.</v>
      </c>
      <c r="B42" s="151" t="str">
        <f>Passive_Portfolio!B20</f>
        <v>Financial Services</v>
      </c>
      <c r="C42" s="95">
        <f>'Information Ratio &amp; Allocation'!$B$25*Passive_Portfolio!H20</f>
        <v>7.5057384010386377E-2</v>
      </c>
      <c r="D42" s="155">
        <f>C42*'Information Ratio &amp; Allocation'!$F$19</f>
        <v>75057384.010386378</v>
      </c>
      <c r="E42" s="162">
        <f>Passive_Portfolio!K20</f>
        <v>0.14921394047316205</v>
      </c>
      <c r="F42" s="171">
        <f t="shared" si="1"/>
        <v>1.1199608029797059E-2</v>
      </c>
    </row>
    <row r="43" spans="1:6" x14ac:dyDescent="0.45">
      <c r="A43" s="22" t="str">
        <f>Passive_Portfolio!A21</f>
        <v>HDFC Life Insurance Company Ltd.</v>
      </c>
      <c r="B43" s="151" t="str">
        <f>Passive_Portfolio!B21</f>
        <v>Financial Services</v>
      </c>
      <c r="C43" s="95">
        <f>'Information Ratio &amp; Allocation'!$B$25*Passive_Portfolio!H21</f>
        <v>4.0472326137129463E-3</v>
      </c>
      <c r="D43" s="155">
        <f>C43*'Information Ratio &amp; Allocation'!$F$19</f>
        <v>4047232.6137129464</v>
      </c>
      <c r="E43" s="162">
        <f>Passive_Portfolio!K21</f>
        <v>9.5478150728309119E-2</v>
      </c>
      <c r="F43" s="171">
        <f t="shared" si="1"/>
        <v>3.8642228552461316E-4</v>
      </c>
    </row>
    <row r="44" spans="1:6" x14ac:dyDescent="0.45">
      <c r="A44" s="22" t="str">
        <f>Passive_Portfolio!A22</f>
        <v>Hero MotoCorp Ltd.</v>
      </c>
      <c r="B44" s="151" t="str">
        <f>Passive_Portfolio!B22</f>
        <v>Automobile and Auto Components</v>
      </c>
      <c r="C44" s="95">
        <f>'Information Ratio &amp; Allocation'!$B$25*Passive_Portfolio!H22</f>
        <v>2.6177256027594485E-2</v>
      </c>
      <c r="D44" s="155">
        <f>C44*'Information Ratio &amp; Allocation'!$F$19</f>
        <v>26177256.027594484</v>
      </c>
      <c r="E44" s="162">
        <f>Passive_Portfolio!K22</f>
        <v>6.3988542355227107E-2</v>
      </c>
      <c r="F44" s="171">
        <f t="shared" si="1"/>
        <v>1.6750444560653538E-3</v>
      </c>
    </row>
    <row r="45" spans="1:6" x14ac:dyDescent="0.45">
      <c r="A45" s="22" t="str">
        <f>Passive_Portfolio!A23</f>
        <v>Hindalco Industries Ltd.</v>
      </c>
      <c r="B45" s="151" t="str">
        <f>Passive_Portfolio!B23</f>
        <v>Metals &amp; Mining</v>
      </c>
      <c r="C45" s="95">
        <f>'Information Ratio &amp; Allocation'!$B$25*Passive_Portfolio!H23</f>
        <v>1.526122338760667E-2</v>
      </c>
      <c r="D45" s="155">
        <f>C45*'Information Ratio &amp; Allocation'!$F$19</f>
        <v>15261223.387606669</v>
      </c>
      <c r="E45" s="162">
        <f>Passive_Portfolio!K23</f>
        <v>5.1903508147726596E-2</v>
      </c>
      <c r="F45" s="171">
        <f t="shared" si="1"/>
        <v>7.9211103244291843E-4</v>
      </c>
    </row>
    <row r="46" spans="1:6" x14ac:dyDescent="0.45">
      <c r="A46" s="22" t="str">
        <f>Passive_Portfolio!A24</f>
        <v>Hindustan Unilever Ltd.</v>
      </c>
      <c r="B46" s="151" t="str">
        <f>Passive_Portfolio!B24</f>
        <v>Fast Moving Consumer Goods</v>
      </c>
      <c r="C46" s="95">
        <f>'Information Ratio &amp; Allocation'!$B$25*Passive_Portfolio!H24</f>
        <v>1.2376604189289179E-2</v>
      </c>
      <c r="D46" s="155">
        <f>C46*'Information Ratio &amp; Allocation'!$F$19</f>
        <v>12376604.189289179</v>
      </c>
      <c r="E46" s="162">
        <f>Passive_Portfolio!K24</f>
        <v>7.0367415175348613E-2</v>
      </c>
      <c r="F46" s="171">
        <f t="shared" si="1"/>
        <v>8.7090964544867065E-4</v>
      </c>
    </row>
    <row r="47" spans="1:6" x14ac:dyDescent="0.45">
      <c r="A47" s="22" t="str">
        <f>Passive_Portfolio!A25</f>
        <v>ICICI Bank Ltd.</v>
      </c>
      <c r="B47" s="151" t="str">
        <f>Passive_Portfolio!B25</f>
        <v>Financial Services</v>
      </c>
      <c r="C47" s="95">
        <f>'Information Ratio &amp; Allocation'!$B$25*Passive_Portfolio!H25</f>
        <v>3.6771109420855645E-2</v>
      </c>
      <c r="D47" s="155">
        <f>C47*'Information Ratio &amp; Allocation'!$F$19</f>
        <v>36771109.420855649</v>
      </c>
      <c r="E47" s="162">
        <f>Passive_Portfolio!K25</f>
        <v>0.14340831534229381</v>
      </c>
      <c r="F47" s="171">
        <f t="shared" si="1"/>
        <v>5.2732828553120571E-3</v>
      </c>
    </row>
    <row r="48" spans="1:6" x14ac:dyDescent="0.45">
      <c r="A48" s="22" t="str">
        <f>Passive_Portfolio!A26</f>
        <v>IndusInd Bank Ltd.</v>
      </c>
      <c r="B48" s="151" t="str">
        <f>Passive_Portfolio!B26</f>
        <v>Financial Services</v>
      </c>
      <c r="C48" s="95">
        <f>'Information Ratio &amp; Allocation'!$B$25*Passive_Portfolio!H26</f>
        <v>3.1800014360980233E-2</v>
      </c>
      <c r="D48" s="155">
        <f>C48*'Information Ratio &amp; Allocation'!$F$19</f>
        <v>31800014.360980235</v>
      </c>
      <c r="E48" s="162">
        <f>Passive_Portfolio!K26</f>
        <v>4.3588397427483994E-2</v>
      </c>
      <c r="F48" s="171">
        <f t="shared" si="1"/>
        <v>1.3861116641661049E-3</v>
      </c>
    </row>
    <row r="49" spans="1:6" x14ac:dyDescent="0.45">
      <c r="A49" s="22" t="str">
        <f>Passive_Portfolio!A27</f>
        <v>Infosys Ltd.</v>
      </c>
      <c r="B49" s="151" t="str">
        <f>Passive_Portfolio!B27</f>
        <v>Information Technology</v>
      </c>
      <c r="C49" s="95">
        <f>'Information Ratio &amp; Allocation'!$B$25*Passive_Portfolio!H27</f>
        <v>2.0122362284518091E-2</v>
      </c>
      <c r="D49" s="155">
        <f>C49*'Information Ratio &amp; Allocation'!$F$19</f>
        <v>20122362.284518089</v>
      </c>
      <c r="E49" s="162">
        <f>Passive_Portfolio!K27</f>
        <v>0.14432421533705231</v>
      </c>
      <c r="F49" s="171">
        <f t="shared" si="1"/>
        <v>2.9041441474409687E-3</v>
      </c>
    </row>
    <row r="50" spans="1:6" x14ac:dyDescent="0.45">
      <c r="A50" s="22" t="str">
        <f>Passive_Portfolio!A28</f>
        <v>ITC Ltd.</v>
      </c>
      <c r="B50" s="151" t="str">
        <f>Passive_Portfolio!B28</f>
        <v>Fast Moving Consumer Goods</v>
      </c>
      <c r="C50" s="95">
        <f>'Information Ratio &amp; Allocation'!$B$25*Passive_Portfolio!H28</f>
        <v>7.2986286633159097E-3</v>
      </c>
      <c r="D50" s="155">
        <f>C50*'Information Ratio &amp; Allocation'!$F$19</f>
        <v>7298628.6633159099</v>
      </c>
      <c r="E50" s="162">
        <f>Passive_Portfolio!K28</f>
        <v>0.27577203113231219</v>
      </c>
      <c r="F50" s="171">
        <f t="shared" si="1"/>
        <v>2.012757650963141E-3</v>
      </c>
    </row>
    <row r="51" spans="1:6" x14ac:dyDescent="0.45">
      <c r="A51" s="22" t="str">
        <f>Passive_Portfolio!A29</f>
        <v>Jio Financial Services Ltd.</v>
      </c>
      <c r="B51" s="151" t="str">
        <f>Passive_Portfolio!B29</f>
        <v>Financial Services</v>
      </c>
      <c r="C51" s="95">
        <f>'Information Ratio &amp; Allocation'!$B$25*Passive_Portfolio!H29</f>
        <v>7.9176126576236752E-3</v>
      </c>
      <c r="D51" s="155">
        <f>C51*'Information Ratio &amp; Allocation'!$F$19</f>
        <v>7917612.6576236757</v>
      </c>
      <c r="E51" s="162">
        <f>Passive_Portfolio!K29</f>
        <v>-7.8003120124805481E-3</v>
      </c>
      <c r="F51" s="171">
        <f t="shared" si="1"/>
        <v>-6.1759849123429992E-5</v>
      </c>
    </row>
    <row r="52" spans="1:6" x14ac:dyDescent="0.45">
      <c r="A52" s="22" t="str">
        <f>Passive_Portfolio!A30</f>
        <v>JSW Steel Ltd.</v>
      </c>
      <c r="B52" s="151" t="str">
        <f>Passive_Portfolio!B30</f>
        <v>Metals &amp; Mining</v>
      </c>
      <c r="C52" s="95">
        <f>'Information Ratio &amp; Allocation'!$B$25*Passive_Portfolio!H30</f>
        <v>1.0929873275885378E-2</v>
      </c>
      <c r="D52" s="155">
        <f>C52*'Information Ratio &amp; Allocation'!$F$19</f>
        <v>10929873.275885379</v>
      </c>
      <c r="E52" s="162">
        <f>Passive_Portfolio!K30</f>
        <v>1.2898330804248737E-2</v>
      </c>
      <c r="F52" s="171">
        <f t="shared" si="1"/>
        <v>1.4097712116088742E-4</v>
      </c>
    </row>
    <row r="53" spans="1:6" x14ac:dyDescent="0.45">
      <c r="A53" s="22" t="str">
        <f>Passive_Portfolio!A31</f>
        <v>Kotak Mahindra Bank Ltd.</v>
      </c>
      <c r="B53" s="151" t="str">
        <f>Passive_Portfolio!B31</f>
        <v>Financial Services</v>
      </c>
      <c r="C53" s="95">
        <f>'Information Ratio &amp; Allocation'!$B$25*Passive_Portfolio!H31</f>
        <v>1.3731064196709213E-2</v>
      </c>
      <c r="D53" s="155">
        <f>C53*'Information Ratio &amp; Allocation'!$F$19</f>
        <v>13731064.196709212</v>
      </c>
      <c r="E53" s="162">
        <f>Passive_Portfolio!K31</f>
        <v>0.20006554732012316</v>
      </c>
      <c r="F53" s="171">
        <f t="shared" si="1"/>
        <v>2.7471128738023758E-3</v>
      </c>
    </row>
    <row r="54" spans="1:6" x14ac:dyDescent="0.45">
      <c r="A54" s="22" t="str">
        <f>Passive_Portfolio!A32</f>
        <v>Larsen &amp; Toubro Ltd.</v>
      </c>
      <c r="B54" s="151" t="str">
        <f>Passive_Portfolio!B32</f>
        <v>Construction</v>
      </c>
      <c r="C54" s="95">
        <f>'Information Ratio &amp; Allocation'!$B$25*Passive_Portfolio!H32</f>
        <v>1.4688374846290788E-2</v>
      </c>
      <c r="D54" s="155">
        <f>C54*'Information Ratio &amp; Allocation'!$F$19</f>
        <v>14688374.846290788</v>
      </c>
      <c r="E54" s="162">
        <f>Passive_Portfolio!K32</f>
        <v>0.20131403118040092</v>
      </c>
      <c r="F54" s="171">
        <f t="shared" si="1"/>
        <v>2.9569759517956004E-3</v>
      </c>
    </row>
    <row r="55" spans="1:6" x14ac:dyDescent="0.45">
      <c r="A55" s="22" t="str">
        <f>Passive_Portfolio!A33</f>
        <v>Mahindra &amp; Mahindra Ltd.</v>
      </c>
      <c r="B55" s="151" t="str">
        <f>Passive_Portfolio!B33</f>
        <v>Automobile and Auto Components</v>
      </c>
      <c r="C55" s="95">
        <f>'Information Ratio &amp; Allocation'!$B$25*Passive_Portfolio!H33</f>
        <v>3.2806536160419821E-2</v>
      </c>
      <c r="D55" s="155">
        <f>C55*'Information Ratio &amp; Allocation'!$F$19</f>
        <v>32806536.160419822</v>
      </c>
      <c r="E55" s="162">
        <f>Passive_Portfolio!K33</f>
        <v>3.0675568365636341E-2</v>
      </c>
      <c r="F55" s="171">
        <f t="shared" si="1"/>
        <v>1.0063591428286789E-3</v>
      </c>
    </row>
    <row r="56" spans="1:6" x14ac:dyDescent="0.45">
      <c r="A56" s="22" t="str">
        <f>Passive_Portfolio!A34</f>
        <v>Maruti Suzuki India Ltd.</v>
      </c>
      <c r="B56" s="151" t="str">
        <f>Passive_Portfolio!B34</f>
        <v>Automobile and Auto Components</v>
      </c>
      <c r="C56" s="95">
        <f>'Information Ratio &amp; Allocation'!$B$25*Passive_Portfolio!H34</f>
        <v>2.5274923459494905E-2</v>
      </c>
      <c r="D56" s="155">
        <f>C56*'Information Ratio &amp; Allocation'!$F$19</f>
        <v>25274923.459494904</v>
      </c>
      <c r="E56" s="162">
        <f>Passive_Portfolio!K34</f>
        <v>-3.5067501739735607E-2</v>
      </c>
      <c r="F56" s="171">
        <f t="shared" si="1"/>
        <v>-8.8632842238752191E-4</v>
      </c>
    </row>
    <row r="57" spans="1:6" x14ac:dyDescent="0.45">
      <c r="A57" s="22" t="str">
        <f>Passive_Portfolio!A35</f>
        <v>Nestle India Ltd.</v>
      </c>
      <c r="B57" s="151" t="str">
        <f>Passive_Portfolio!B35</f>
        <v>Fast Moving Consumer Goods</v>
      </c>
      <c r="C57" s="95">
        <f>'Information Ratio &amp; Allocation'!$B$25*Passive_Portfolio!H35</f>
        <v>1.1060205930587447E-2</v>
      </c>
      <c r="D57" s="155">
        <f>C57*'Information Ratio &amp; Allocation'!$F$19</f>
        <v>11060205.930587448</v>
      </c>
      <c r="E57" s="162">
        <f>Passive_Portfolio!K35</f>
        <v>1.0262114157613382</v>
      </c>
      <c r="F57" s="171">
        <f t="shared" ref="F57:F74" si="2">E57*C57</f>
        <v>1.1350109586640093E-2</v>
      </c>
    </row>
    <row r="58" spans="1:6" x14ac:dyDescent="0.45">
      <c r="A58" s="22" t="str">
        <f>Passive_Portfolio!A36</f>
        <v>NTPC Ltd.</v>
      </c>
      <c r="B58" s="151" t="str">
        <f>Passive_Portfolio!B36</f>
        <v>Power</v>
      </c>
      <c r="C58" s="95">
        <f>'Information Ratio &amp; Allocation'!$B$25*Passive_Portfolio!H36</f>
        <v>4.1375812091553844E-3</v>
      </c>
      <c r="D58" s="155">
        <f>C58*'Information Ratio &amp; Allocation'!$F$19</f>
        <v>4137581.2091553845</v>
      </c>
      <c r="E58" s="162">
        <f>Passive_Portfolio!K36</f>
        <v>0.17821635257456592</v>
      </c>
      <c r="F58" s="171">
        <f t="shared" si="2"/>
        <v>7.373846315767347E-4</v>
      </c>
    </row>
    <row r="59" spans="1:6" x14ac:dyDescent="0.45">
      <c r="A59" s="22" t="str">
        <f>Passive_Portfolio!A37</f>
        <v>Oil &amp; Natural Gas Corporation Ltd.</v>
      </c>
      <c r="B59" s="151" t="str">
        <f>Passive_Portfolio!B37</f>
        <v>Oil Gas &amp; Consumable Fuels</v>
      </c>
      <c r="C59" s="95">
        <f>'Information Ratio &amp; Allocation'!$B$25*Passive_Portfolio!H37</f>
        <v>4.9418759396472134E-3</v>
      </c>
      <c r="D59" s="155">
        <f>C59*'Information Ratio &amp; Allocation'!$F$19</f>
        <v>4941875.9396472136</v>
      </c>
      <c r="E59" s="162">
        <f>Passive_Portfolio!K37</f>
        <v>0.21845893310753617</v>
      </c>
      <c r="F59" s="171">
        <f t="shared" si="2"/>
        <v>1.079596945325133E-3</v>
      </c>
    </row>
    <row r="60" spans="1:6" x14ac:dyDescent="0.45">
      <c r="A60" s="22" t="str">
        <f>Passive_Portfolio!A38</f>
        <v>Power Grid Corporation of India Ltd.</v>
      </c>
      <c r="B60" s="151" t="str">
        <f>Passive_Portfolio!B38</f>
        <v>Power</v>
      </c>
      <c r="C60" s="95">
        <f>'Information Ratio &amp; Allocation'!$B$25*Passive_Portfolio!H38</f>
        <v>7.4251166969353227E-3</v>
      </c>
      <c r="D60" s="155">
        <f>C60*'Information Ratio &amp; Allocation'!$F$19</f>
        <v>7425116.6969353231</v>
      </c>
      <c r="E60" s="162">
        <f>Passive_Portfolio!K38</f>
        <v>0.26028893587033131</v>
      </c>
      <c r="F60" s="171">
        <f t="shared" si="2"/>
        <v>1.9326757237583243E-3</v>
      </c>
    </row>
    <row r="61" spans="1:6" x14ac:dyDescent="0.45">
      <c r="A61" s="22" t="str">
        <f>Passive_Portfolio!A39</f>
        <v>Reliance Industries Ltd.</v>
      </c>
      <c r="B61" s="151" t="str">
        <f>Passive_Portfolio!B39</f>
        <v>Oil Gas &amp; Consumable Fuels</v>
      </c>
      <c r="C61" s="95">
        <f>'Information Ratio &amp; Allocation'!$B$25*Passive_Portfolio!H39</f>
        <v>3.163277334388466E-2</v>
      </c>
      <c r="D61" s="155">
        <f>C61*'Information Ratio &amp; Allocation'!$F$19</f>
        <v>31632773.343884658</v>
      </c>
      <c r="E61" s="162">
        <f>Passive_Portfolio!K39</f>
        <v>0.10752535640825589</v>
      </c>
      <c r="F61" s="171">
        <f t="shared" si="2"/>
        <v>3.4013252279827743E-3</v>
      </c>
    </row>
    <row r="62" spans="1:6" x14ac:dyDescent="0.45">
      <c r="A62" s="22" t="str">
        <f>Passive_Portfolio!A40</f>
        <v>SBI Life Insurance Company Ltd.</v>
      </c>
      <c r="B62" s="151" t="str">
        <f>Passive_Portfolio!B40</f>
        <v>Financial Services</v>
      </c>
      <c r="C62" s="95">
        <f>'Information Ratio &amp; Allocation'!$B$25*Passive_Portfolio!H40</f>
        <v>4.3348102706956843E-3</v>
      </c>
      <c r="D62" s="155">
        <f>C62*'Information Ratio &amp; Allocation'!$F$19</f>
        <v>4334810.2706956845</v>
      </c>
      <c r="E62" s="162">
        <f>Passive_Portfolio!K40</f>
        <v>0.12234787291330096</v>
      </c>
      <c r="F62" s="171">
        <f t="shared" si="2"/>
        <v>5.3035481610234729E-4</v>
      </c>
    </row>
    <row r="63" spans="1:6" x14ac:dyDescent="0.45">
      <c r="A63" s="22" t="str">
        <f>Passive_Portfolio!A41</f>
        <v>Shriram Finance Ltd.</v>
      </c>
      <c r="B63" s="151" t="str">
        <f>Passive_Portfolio!B41</f>
        <v>Financial Services</v>
      </c>
      <c r="C63" s="95">
        <f>'Information Ratio &amp; Allocation'!$B$25*Passive_Portfolio!H41</f>
        <v>1.6057444413824919E-2</v>
      </c>
      <c r="D63" s="155">
        <f>C63*'Information Ratio &amp; Allocation'!$F$19</f>
        <v>16057444.41382492</v>
      </c>
      <c r="E63" s="162">
        <f>Passive_Portfolio!K41</f>
        <v>0.17879107505070979</v>
      </c>
      <c r="F63" s="171">
        <f t="shared" si="2"/>
        <v>2.8709277493147718E-3</v>
      </c>
    </row>
    <row r="64" spans="1:6" x14ac:dyDescent="0.45">
      <c r="A64" s="22" t="str">
        <f>Passive_Portfolio!A42</f>
        <v>State Bank of India</v>
      </c>
      <c r="B64" s="151" t="str">
        <f>Passive_Portfolio!B42</f>
        <v>Financial Services</v>
      </c>
      <c r="C64" s="95">
        <f>'Information Ratio &amp; Allocation'!$B$25*Passive_Portfolio!H42</f>
        <v>8.2778536530686286E-3</v>
      </c>
      <c r="D64" s="155">
        <f>C64*'Information Ratio &amp; Allocation'!$F$19</f>
        <v>8277853.6530686291</v>
      </c>
      <c r="E64" s="162">
        <f>Passive_Portfolio!K42</f>
        <v>0.17296767874632724</v>
      </c>
      <c r="F64" s="171">
        <f t="shared" si="2"/>
        <v>1.4318011313730859E-3</v>
      </c>
    </row>
    <row r="65" spans="1:6" x14ac:dyDescent="0.45">
      <c r="A65" s="22" t="str">
        <f>Passive_Portfolio!A43</f>
        <v>Sun Pharmaceutical Industries Ltd.</v>
      </c>
      <c r="B65" s="151" t="str">
        <f>Passive_Portfolio!B43</f>
        <v>Healthcare</v>
      </c>
      <c r="C65" s="95">
        <f>'Information Ratio &amp; Allocation'!$B$25*Passive_Portfolio!H43</f>
        <v>1.327009412889865E-2</v>
      </c>
      <c r="D65" s="155">
        <f>C65*'Information Ratio &amp; Allocation'!$F$19</f>
        <v>13270094.12889865</v>
      </c>
      <c r="E65" s="162">
        <f>Passive_Portfolio!K43</f>
        <v>0.25053369929856673</v>
      </c>
      <c r="F65" s="171">
        <f t="shared" si="2"/>
        <v>3.32460577215317E-3</v>
      </c>
    </row>
    <row r="66" spans="1:6" x14ac:dyDescent="0.45">
      <c r="A66" s="22" t="str">
        <f>Passive_Portfolio!A44</f>
        <v>Tata Consultancy Services Ltd.</v>
      </c>
      <c r="B66" s="151" t="str">
        <f>Passive_Portfolio!B44</f>
        <v>Information Technology</v>
      </c>
      <c r="C66" s="95">
        <f>'Information Ratio &amp; Allocation'!$B$25*Passive_Portfolio!H44</f>
        <v>1.6481890581350243E-3</v>
      </c>
      <c r="D66" s="155">
        <f>C66*'Information Ratio &amp; Allocation'!$F$19</f>
        <v>1648189.0581350243</v>
      </c>
      <c r="E66" s="162">
        <f>Passive_Portfolio!K44</f>
        <v>0.28681048875503334</v>
      </c>
      <c r="F66" s="171">
        <f t="shared" si="2"/>
        <v>4.727179093244044E-4</v>
      </c>
    </row>
    <row r="67" spans="1:6" x14ac:dyDescent="0.45">
      <c r="A67" s="22" t="str">
        <f>Passive_Portfolio!A45</f>
        <v>Tata Consumer Products Ltd.</v>
      </c>
      <c r="B67" s="151" t="str">
        <f>Passive_Portfolio!B45</f>
        <v>Fast Moving Consumer Goods</v>
      </c>
      <c r="C67" s="95">
        <f>'Information Ratio &amp; Allocation'!$B$25*Passive_Portfolio!H45</f>
        <v>1.6859432371667156E-2</v>
      </c>
      <c r="D67" s="155">
        <f>C67*'Information Ratio &amp; Allocation'!$F$19</f>
        <v>16859432.371667154</v>
      </c>
      <c r="E67" s="162">
        <f>Passive_Portfolio!K45</f>
        <v>0.1056103178258867</v>
      </c>
      <c r="F67" s="171">
        <f t="shared" si="2"/>
        <v>1.7805300111358112E-3</v>
      </c>
    </row>
    <row r="68" spans="1:6" x14ac:dyDescent="0.45">
      <c r="A68" s="22" t="str">
        <f>Passive_Portfolio!A46</f>
        <v>Tata Motors Ltd.</v>
      </c>
      <c r="B68" s="151" t="str">
        <f>Passive_Portfolio!B46</f>
        <v>Automobile and Auto Components</v>
      </c>
      <c r="C68" s="95">
        <f>'Information Ratio &amp; Allocation'!$B$25*Passive_Portfolio!H46</f>
        <v>9.8668355465307365E-3</v>
      </c>
      <c r="D68" s="155">
        <f>C68*'Information Ratio &amp; Allocation'!$F$19</f>
        <v>9866835.5465307366</v>
      </c>
      <c r="E68" s="162">
        <f>Passive_Portfolio!K46</f>
        <v>0.23063367354431308</v>
      </c>
      <c r="F68" s="171">
        <f t="shared" si="2"/>
        <v>2.2756245283539938E-3</v>
      </c>
    </row>
    <row r="69" spans="1:6" x14ac:dyDescent="0.45">
      <c r="A69" s="22" t="str">
        <f>Passive_Portfolio!A47</f>
        <v>Tata Steel Ltd.</v>
      </c>
      <c r="B69" s="151" t="str">
        <f>Passive_Portfolio!B47</f>
        <v>Metals &amp; Mining</v>
      </c>
      <c r="C69" s="95">
        <f>'Information Ratio &amp; Allocation'!$B$25*Passive_Portfolio!H47</f>
        <v>1.88021194047337E-2</v>
      </c>
      <c r="D69" s="155">
        <f>C69*'Information Ratio &amp; Allocation'!$F$19</f>
        <v>18802119.404733699</v>
      </c>
      <c r="E69" s="162">
        <f>Passive_Portfolio!K47</f>
        <v>4.5041061276058114E-2</v>
      </c>
      <c r="F69" s="171">
        <f t="shared" si="2"/>
        <v>8.4686741222837194E-4</v>
      </c>
    </row>
    <row r="70" spans="1:6" x14ac:dyDescent="0.45">
      <c r="A70" s="22" t="str">
        <f>Passive_Portfolio!A48</f>
        <v>Tech Mahindra Ltd.</v>
      </c>
      <c r="B70" s="151" t="str">
        <f>Passive_Portfolio!B48</f>
        <v>Information Technology</v>
      </c>
      <c r="C70" s="95">
        <f>'Information Ratio &amp; Allocation'!$B$25*Passive_Portfolio!H48</f>
        <v>5.621604947060958E-3</v>
      </c>
      <c r="D70" s="155">
        <f>C70*'Information Ratio &amp; Allocation'!$F$19</f>
        <v>5621604.9470609576</v>
      </c>
      <c r="E70" s="162">
        <f>Passive_Portfolio!K48</f>
        <v>0.1591350632069195</v>
      </c>
      <c r="F70" s="171">
        <f t="shared" si="2"/>
        <v>8.9459445857487693E-4</v>
      </c>
    </row>
    <row r="71" spans="1:6" x14ac:dyDescent="0.45">
      <c r="A71" s="22" t="str">
        <f>Passive_Portfolio!A49</f>
        <v>Titan Company Ltd.</v>
      </c>
      <c r="B71" s="151" t="str">
        <f>Passive_Portfolio!B49</f>
        <v>Consumer Durables</v>
      </c>
      <c r="C71" s="95">
        <f>'Information Ratio &amp; Allocation'!$B$25*Passive_Portfolio!H49</f>
        <v>9.6326981225969312E-3</v>
      </c>
      <c r="D71" s="155">
        <f>C71*'Information Ratio &amp; Allocation'!$F$19</f>
        <v>9632698.1225969307</v>
      </c>
      <c r="E71" s="162">
        <f>Passive_Portfolio!K49</f>
        <v>6.4806985548094609E-2</v>
      </c>
      <c r="F71" s="171">
        <f t="shared" si="2"/>
        <v>6.2426612802029744E-4</v>
      </c>
    </row>
    <row r="72" spans="1:6" x14ac:dyDescent="0.45">
      <c r="A72" s="22" t="str">
        <f>Passive_Portfolio!A50</f>
        <v>Trent Ltd.</v>
      </c>
      <c r="B72" s="151" t="str">
        <f>Passive_Portfolio!B50</f>
        <v>Consumer Services</v>
      </c>
      <c r="C72" s="95">
        <f>'Information Ratio &amp; Allocation'!$B$25*Passive_Portfolio!H50</f>
        <v>9.2793774451007584E-3</v>
      </c>
      <c r="D72" s="155">
        <f>C72*'Information Ratio &amp; Allocation'!$F$19</f>
        <v>9279377.4451007582</v>
      </c>
      <c r="E72" s="162">
        <f>Passive_Portfolio!K50</f>
        <v>0.15475092250922518</v>
      </c>
      <c r="F72" s="171">
        <f t="shared" si="2"/>
        <v>1.4359922199406394E-3</v>
      </c>
    </row>
    <row r="73" spans="1:6" x14ac:dyDescent="0.45">
      <c r="A73" s="22" t="str">
        <f>Passive_Portfolio!A51</f>
        <v>UltraTech Cement Ltd.</v>
      </c>
      <c r="B73" s="151" t="str">
        <f>Passive_Portfolio!B51</f>
        <v>Construction Materials</v>
      </c>
      <c r="C73" s="95">
        <f>'Information Ratio &amp; Allocation'!$B$25*Passive_Portfolio!H51</f>
        <v>1.1082120270758592E-2</v>
      </c>
      <c r="D73" s="155">
        <f>C73*'Information Ratio &amp; Allocation'!$F$19</f>
        <v>11082120.270758592</v>
      </c>
      <c r="E73" s="162">
        <f>Passive_Portfolio!K51</f>
        <v>0.10902023006743367</v>
      </c>
      <c r="F73" s="171">
        <f t="shared" si="2"/>
        <v>1.2081753015530719E-3</v>
      </c>
    </row>
    <row r="74" spans="1:6" ht="14.35" thickBot="1" x14ac:dyDescent="0.5">
      <c r="A74" s="78" t="str">
        <f>Passive_Portfolio!A52</f>
        <v>Wipro Ltd.</v>
      </c>
      <c r="B74" s="152" t="str">
        <f>Passive_Portfolio!B52</f>
        <v>Information Technology</v>
      </c>
      <c r="C74" s="153">
        <f>'Information Ratio &amp; Allocation'!$B$25*Passive_Portfolio!H52</f>
        <v>1.3006737584736649E-2</v>
      </c>
      <c r="D74" s="156">
        <f>C74*'Information Ratio &amp; Allocation'!$F$19</f>
        <v>13006737.584736649</v>
      </c>
      <c r="E74" s="162">
        <f>Passive_Portfolio!K52</f>
        <v>4.8202942831872653E-2</v>
      </c>
      <c r="F74" s="171">
        <f t="shared" si="2"/>
        <v>6.2696302822623008E-4</v>
      </c>
    </row>
    <row r="75" spans="1:6" ht="14.35" thickBot="1" x14ac:dyDescent="0.5">
      <c r="A75" s="158" t="s">
        <v>255</v>
      </c>
      <c r="B75" s="140"/>
      <c r="C75" s="154">
        <f>SUM(C25:C74)</f>
        <v>0.75568641721958152</v>
      </c>
      <c r="D75" s="157">
        <f>SUM(D25:D74)</f>
        <v>755686417.21958113</v>
      </c>
      <c r="E75" s="144"/>
      <c r="F75" s="163"/>
    </row>
    <row r="76" spans="1:6" ht="14.35" thickBot="1" x14ac:dyDescent="0.5">
      <c r="A76" s="102" t="s">
        <v>264</v>
      </c>
      <c r="B76" s="68"/>
      <c r="C76" s="68"/>
      <c r="D76" s="68"/>
      <c r="E76" s="68"/>
      <c r="F76" s="154">
        <f>SUM(F25:F74)</f>
        <v>9.1948905675359141E-2</v>
      </c>
    </row>
    <row r="77" spans="1:6" ht="14.35" thickBot="1" x14ac:dyDescent="0.5">
      <c r="A77" s="104"/>
      <c r="F77" s="128"/>
    </row>
    <row r="78" spans="1:6" ht="17.7" thickBot="1" x14ac:dyDescent="0.55000000000000004">
      <c r="A78" s="172" t="s">
        <v>265</v>
      </c>
      <c r="B78" s="173"/>
      <c r="C78" s="173"/>
      <c r="D78" s="173"/>
      <c r="E78" s="173"/>
      <c r="F78" s="174">
        <f>$F$19+$F$76</f>
        <v>0.21070066129688142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72FF-00E1-41A7-B439-E91FE4B4268A}">
  <dimension ref="A1:U53"/>
  <sheetViews>
    <sheetView showGridLines="0" zoomScale="70" zoomScaleNormal="70" workbookViewId="0">
      <selection activeCell="C35" sqref="C35"/>
    </sheetView>
  </sheetViews>
  <sheetFormatPr defaultColWidth="8.87890625" defaultRowHeight="14" x14ac:dyDescent="0.45"/>
  <cols>
    <col min="1" max="1" width="7.41015625" style="1" bestFit="1" customWidth="1"/>
    <col min="2" max="2" width="16.64453125" style="1" bestFit="1" customWidth="1"/>
    <col min="3" max="3" width="13.3515625" style="1" bestFit="1" customWidth="1"/>
    <col min="4" max="4" width="13.52734375" style="1" bestFit="1" customWidth="1"/>
    <col min="5" max="5" width="15.52734375" style="1" bestFit="1" customWidth="1"/>
    <col min="6" max="6" width="21.234375" style="1" bestFit="1" customWidth="1"/>
    <col min="7" max="7" width="11.87890625" style="1" bestFit="1" customWidth="1"/>
    <col min="8" max="8" width="15.3515625" style="1" bestFit="1" customWidth="1"/>
    <col min="9" max="9" width="10.234375" style="1" bestFit="1" customWidth="1"/>
    <col min="10" max="10" width="10.64453125" style="1" bestFit="1" customWidth="1"/>
    <col min="11" max="11" width="15" style="1" bestFit="1" customWidth="1"/>
    <col min="12" max="12" width="20.41015625" style="1" bestFit="1" customWidth="1"/>
    <col min="13" max="13" width="15.234375" style="1" bestFit="1" customWidth="1"/>
    <col min="14" max="14" width="19" style="1" bestFit="1" customWidth="1"/>
    <col min="15" max="15" width="20.3515625" style="1" bestFit="1" customWidth="1"/>
    <col min="16" max="16" width="19.41015625" style="1" bestFit="1" customWidth="1"/>
    <col min="17" max="17" width="8.76171875" style="1" bestFit="1" customWidth="1"/>
    <col min="18" max="18" width="17.234375" style="1" bestFit="1" customWidth="1"/>
    <col min="19" max="19" width="15.234375" style="1" bestFit="1" customWidth="1"/>
    <col min="20" max="20" width="22.41015625" style="1" bestFit="1" customWidth="1"/>
    <col min="21" max="21" width="16.3515625" style="1" bestFit="1" customWidth="1"/>
    <col min="22" max="16384" width="8.87890625" style="1"/>
  </cols>
  <sheetData>
    <row r="1" spans="1:21" ht="18" thickBot="1" x14ac:dyDescent="0.6">
      <c r="A1" s="43" t="s">
        <v>269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2"/>
    </row>
    <row r="2" spans="1:21" ht="14.35" thickBot="1" x14ac:dyDescent="0.5">
      <c r="A2" s="102" t="s">
        <v>52</v>
      </c>
      <c r="B2" s="68" t="s">
        <v>44</v>
      </c>
      <c r="C2" s="68" t="s">
        <v>26</v>
      </c>
      <c r="D2" s="68" t="s">
        <v>38</v>
      </c>
      <c r="E2" s="68" t="s">
        <v>27</v>
      </c>
      <c r="F2" s="68" t="s">
        <v>28</v>
      </c>
      <c r="G2" s="68" t="s">
        <v>37</v>
      </c>
      <c r="H2" s="68" t="s">
        <v>31</v>
      </c>
      <c r="I2" s="68" t="s">
        <v>30</v>
      </c>
      <c r="J2" s="68" t="s">
        <v>29</v>
      </c>
      <c r="K2" s="68" t="s">
        <v>34</v>
      </c>
      <c r="L2" s="68" t="s">
        <v>32</v>
      </c>
      <c r="M2" s="68" t="s">
        <v>40</v>
      </c>
      <c r="N2" s="68" t="s">
        <v>53</v>
      </c>
      <c r="O2" s="68" t="s">
        <v>54</v>
      </c>
      <c r="P2" s="68" t="s">
        <v>55</v>
      </c>
      <c r="Q2" s="68" t="s">
        <v>36</v>
      </c>
      <c r="R2" s="68" t="s">
        <v>25</v>
      </c>
      <c r="S2" s="68" t="s">
        <v>39</v>
      </c>
      <c r="T2" s="68" t="s">
        <v>56</v>
      </c>
      <c r="U2" s="77" t="s">
        <v>33</v>
      </c>
    </row>
    <row r="3" spans="1:21" x14ac:dyDescent="0.45">
      <c r="A3" s="123">
        <v>-6.0900000000000003E-2</v>
      </c>
      <c r="B3" s="56">
        <v>-0.1072</v>
      </c>
      <c r="C3" s="56">
        <v>-9.6000000000000002E-2</v>
      </c>
      <c r="D3" s="56">
        <v>-9.6600000000000005E-2</v>
      </c>
      <c r="E3" s="56">
        <v>-0.12130000000000001</v>
      </c>
      <c r="F3" s="56">
        <v>-7.9500000000000001E-2</v>
      </c>
      <c r="G3" s="56">
        <v>-0.1061</v>
      </c>
      <c r="H3" s="56">
        <v>-7.5600000000000001E-2</v>
      </c>
      <c r="I3" s="56">
        <v>-4.4700000000000004E-2</v>
      </c>
      <c r="J3" s="56">
        <v>-4.6200000000000005E-2</v>
      </c>
      <c r="K3" s="56">
        <v>-8.4199999999999997E-2</v>
      </c>
      <c r="L3" s="56">
        <v>-6.6100000000000006E-2</v>
      </c>
      <c r="M3" s="56">
        <v>-5.9500000000000004E-2</v>
      </c>
      <c r="N3" s="56">
        <v>-4.0900000000000006E-2</v>
      </c>
      <c r="O3" s="56">
        <v>-2.2499999999999999E-2</v>
      </c>
      <c r="P3" s="56">
        <v>-4.7399999999999998E-2</v>
      </c>
      <c r="Q3" s="56">
        <v>-0.11460000000000001</v>
      </c>
      <c r="R3" s="56">
        <v>-7.3700000000000002E-2</v>
      </c>
      <c r="S3" s="56">
        <v>-4.3500000000000004E-2</v>
      </c>
      <c r="T3" s="56">
        <v>-9.5500000000000002E-2</v>
      </c>
      <c r="U3" s="124">
        <v>-7.2700000000000001E-2</v>
      </c>
    </row>
    <row r="4" spans="1:21" x14ac:dyDescent="0.45">
      <c r="A4" s="123">
        <v>-9.4299999999999995E-2</v>
      </c>
      <c r="B4" s="56">
        <v>-0.13109999999999999</v>
      </c>
      <c r="C4" s="56">
        <v>-6.83E-2</v>
      </c>
      <c r="D4" s="56">
        <v>-0.17510000000000001</v>
      </c>
      <c r="E4" s="56">
        <v>-0.1358</v>
      </c>
      <c r="F4" s="56">
        <v>-5.6300000000000003E-2</v>
      </c>
      <c r="G4" s="56">
        <v>-0.16189999999999999</v>
      </c>
      <c r="H4" s="56">
        <v>-0.11660000000000001</v>
      </c>
      <c r="I4" s="56">
        <v>-0.12940000000000002</v>
      </c>
      <c r="J4" s="56">
        <v>-1.4200000000000004E-2</v>
      </c>
      <c r="K4" s="56">
        <v>-0.13719999999999999</v>
      </c>
      <c r="L4" s="56">
        <v>-0.21579999999999999</v>
      </c>
      <c r="M4" s="56">
        <v>-7.85E-2</v>
      </c>
      <c r="N4" s="56">
        <v>-6.8600000000000008E-2</v>
      </c>
      <c r="O4" s="56">
        <v>-0.1183</v>
      </c>
      <c r="P4" s="56">
        <v>-0.12190000000000001</v>
      </c>
      <c r="Q4" s="56">
        <v>-8.2900000000000001E-2</v>
      </c>
      <c r="R4" s="56">
        <v>-0.1832</v>
      </c>
      <c r="S4" s="56">
        <v>-9.7000000000000003E-2</v>
      </c>
      <c r="T4" s="56">
        <v>-8.4000000000000005E-2</v>
      </c>
      <c r="U4" s="124">
        <v>-0.12659999999999999</v>
      </c>
    </row>
    <row r="5" spans="1:21" x14ac:dyDescent="0.45">
      <c r="A5" s="123">
        <v>-3.4000000000000002E-2</v>
      </c>
      <c r="B5" s="56">
        <v>-6.1200000000000004E-2</v>
      </c>
      <c r="C5" s="56">
        <v>-5.5600000000000004E-2</v>
      </c>
      <c r="D5" s="56">
        <v>-0.1022</v>
      </c>
      <c r="E5" s="56">
        <v>-0.19650000000000001</v>
      </c>
      <c r="F5" s="56">
        <v>-0.1197</v>
      </c>
      <c r="G5" s="56">
        <v>1.7399999999999999E-2</v>
      </c>
      <c r="H5" s="56">
        <v>-8.4000000000000005E-2</v>
      </c>
      <c r="I5" s="56">
        <v>-0.1082</v>
      </c>
      <c r="J5" s="56">
        <v>-8.660000000000001E-2</v>
      </c>
      <c r="K5" s="56">
        <v>-3.2900000000000006E-2</v>
      </c>
      <c r="L5" s="56">
        <v>-8.8000000000000023E-3</v>
      </c>
      <c r="M5" s="56">
        <v>5.0000000000000044E-3</v>
      </c>
      <c r="N5" s="56">
        <v>-7.5899999999999995E-2</v>
      </c>
      <c r="O5" s="56">
        <v>-4.4800000000000006E-2</v>
      </c>
      <c r="P5" s="56">
        <v>-3.1000000000000055E-3</v>
      </c>
      <c r="Q5" s="56">
        <v>-6.4799999999999996E-2</v>
      </c>
      <c r="R5" s="56">
        <v>7.6999999999999985E-3</v>
      </c>
      <c r="S5" s="56">
        <v>-0.10880000000000001</v>
      </c>
      <c r="T5" s="56">
        <v>-3.2800000000000003E-2</v>
      </c>
      <c r="U5" s="124">
        <v>-0.1255</v>
      </c>
    </row>
    <row r="6" spans="1:21" x14ac:dyDescent="0.45">
      <c r="A6" s="123">
        <v>-4.7899999999999998E-2</v>
      </c>
      <c r="B6" s="56">
        <v>4.1300000000000003E-2</v>
      </c>
      <c r="C6" s="56">
        <v>0.1769</v>
      </c>
      <c r="D6" s="56">
        <v>0.24780000000000002</v>
      </c>
      <c r="E6" s="56">
        <v>-9.9400000000000002E-2</v>
      </c>
      <c r="F6" s="56">
        <v>-3.5200000000000002E-2</v>
      </c>
      <c r="G6" s="56">
        <v>-3.8600000000000002E-2</v>
      </c>
      <c r="H6" s="56">
        <v>1.6899999999999998E-2</v>
      </c>
      <c r="I6" s="56">
        <v>6.9000000000000006E-2</v>
      </c>
      <c r="J6" s="56">
        <v>-0.12670000000000001</v>
      </c>
      <c r="K6" s="56">
        <v>-5.0600000000000006E-2</v>
      </c>
      <c r="L6" s="56">
        <v>-2.0900000000000002E-2</v>
      </c>
      <c r="M6" s="56">
        <v>-4.6700000000000005E-2</v>
      </c>
      <c r="N6" s="56">
        <v>-6.9999999999999993E-3</v>
      </c>
      <c r="O6" s="56">
        <v>-0.1857</v>
      </c>
      <c r="P6" s="56">
        <v>-9.4700000000000006E-2</v>
      </c>
      <c r="Q6" s="56">
        <v>-0.1074</v>
      </c>
      <c r="R6" s="56">
        <v>-2.9000000000000005E-2</v>
      </c>
      <c r="S6" s="56">
        <v>5.1799999999999999E-2</v>
      </c>
      <c r="T6" s="56">
        <v>-4.3099999999999999E-2</v>
      </c>
      <c r="U6" s="124">
        <v>-9.2999999999999999E-2</v>
      </c>
    </row>
    <row r="7" spans="1:21" x14ac:dyDescent="0.45">
      <c r="A7" s="123">
        <v>-3.0400000000000003E-2</v>
      </c>
      <c r="B7" s="56">
        <v>-1.9700000000000002E-2</v>
      </c>
      <c r="C7" s="56">
        <v>-0.14579999999999999</v>
      </c>
      <c r="D7" s="56">
        <v>-6.54E-2</v>
      </c>
      <c r="E7" s="56">
        <v>-0.10830000000000001</v>
      </c>
      <c r="F7" s="56">
        <v>-3.1200000000000006E-2</v>
      </c>
      <c r="G7" s="56">
        <v>-5.8599999999999999E-2</v>
      </c>
      <c r="H7" s="56">
        <v>-8.77E-2</v>
      </c>
      <c r="I7" s="56">
        <v>-0.126</v>
      </c>
      <c r="J7" s="56">
        <v>1.2299999999999991E-2</v>
      </c>
      <c r="K7" s="56">
        <v>3.4799999999999998E-2</v>
      </c>
      <c r="L7" s="56">
        <v>-8.0699999999999994E-2</v>
      </c>
      <c r="M7" s="56">
        <v>-0.1741</v>
      </c>
      <c r="N7" s="56">
        <v>4.9000000000000016E-3</v>
      </c>
      <c r="O7" s="56">
        <v>-0.16220000000000001</v>
      </c>
      <c r="P7" s="56">
        <v>4.5899999999999996E-2</v>
      </c>
      <c r="Q7" s="56">
        <v>-8.6199999999999999E-2</v>
      </c>
      <c r="R7" s="56">
        <v>-2.9900000000000003E-2</v>
      </c>
      <c r="S7" s="56">
        <v>-0.10980000000000001</v>
      </c>
      <c r="T7" s="56">
        <v>-4.1000000000000002E-2</v>
      </c>
      <c r="U7" s="124">
        <v>5.1000000000000004E-2</v>
      </c>
    </row>
    <row r="8" spans="1:21" x14ac:dyDescent="0.45">
      <c r="A8" s="123">
        <v>-2.0000000000000018E-3</v>
      </c>
      <c r="B8" s="56">
        <v>-4.7800000000000002E-2</v>
      </c>
      <c r="C8" s="56">
        <v>-3.8000000000000048E-3</v>
      </c>
      <c r="D8" s="56">
        <v>1.3999999999999985E-3</v>
      </c>
      <c r="E8" s="56">
        <v>0.25409999999999999</v>
      </c>
      <c r="F8" s="56">
        <v>-1.5600000000000003E-2</v>
      </c>
      <c r="G8" s="56">
        <v>-0.1507</v>
      </c>
      <c r="H8" s="56">
        <v>7.1000000000000008E-2</v>
      </c>
      <c r="I8" s="56">
        <v>-6.6799999999999998E-2</v>
      </c>
      <c r="J8" s="56">
        <v>2.9299999999999993E-2</v>
      </c>
      <c r="K8" s="56">
        <v>4.8399999999999999E-2</v>
      </c>
      <c r="L8" s="56">
        <v>-5.3900000000000003E-2</v>
      </c>
      <c r="M8" s="56">
        <v>9.4E-2</v>
      </c>
      <c r="N8" s="56">
        <v>-0.10600000000000001</v>
      </c>
      <c r="O8" s="56">
        <v>-7.7600000000000002E-2</v>
      </c>
      <c r="P8" s="56">
        <v>-5.3800000000000001E-2</v>
      </c>
      <c r="Q8" s="56">
        <v>0.12620000000000001</v>
      </c>
      <c r="R8" s="56">
        <v>-5.400000000000002E-3</v>
      </c>
      <c r="S8" s="56">
        <v>2.1699999999999997E-2</v>
      </c>
      <c r="T8" s="56">
        <v>4.1700000000000001E-2</v>
      </c>
      <c r="U8" s="124">
        <v>2.5999999999999995E-2</v>
      </c>
    </row>
    <row r="9" spans="1:21" x14ac:dyDescent="0.45">
      <c r="A9" s="123">
        <v>-0.12390000000000001</v>
      </c>
      <c r="B9" s="56">
        <v>-0.2145</v>
      </c>
      <c r="C9" s="56">
        <v>-0.29070000000000001</v>
      </c>
      <c r="D9" s="56">
        <v>-0.1404</v>
      </c>
      <c r="E9" s="56">
        <v>-8.6499999999999994E-2</v>
      </c>
      <c r="F9" s="56">
        <v>-0.1419</v>
      </c>
      <c r="G9" s="56">
        <v>-0.27180000000000004</v>
      </c>
      <c r="H9" s="56">
        <v>-0.2397</v>
      </c>
      <c r="I9" s="56">
        <v>-0.1938</v>
      </c>
      <c r="J9" s="56">
        <v>-0.16920000000000002</v>
      </c>
      <c r="K9" s="56">
        <v>-0.30299999999999999</v>
      </c>
      <c r="L9" s="56">
        <v>-0.1522</v>
      </c>
      <c r="M9" s="56">
        <v>-0.1525</v>
      </c>
      <c r="N9" s="56">
        <v>-0.1903</v>
      </c>
      <c r="O9" s="56">
        <v>-0.1741</v>
      </c>
      <c r="P9" s="56">
        <v>-0.21390000000000001</v>
      </c>
      <c r="Q9" s="56">
        <v>-0.2641</v>
      </c>
      <c r="R9" s="56">
        <v>-0.29749999999999999</v>
      </c>
      <c r="S9" s="56">
        <v>-0.1983</v>
      </c>
      <c r="T9" s="56">
        <v>-0.13440000000000002</v>
      </c>
      <c r="U9" s="124">
        <v>-0.16300000000000001</v>
      </c>
    </row>
    <row r="10" spans="1:21" x14ac:dyDescent="0.45">
      <c r="A10" s="123">
        <v>-7.0800000000000002E-2</v>
      </c>
      <c r="B10" s="56">
        <v>-0.1875</v>
      </c>
      <c r="C10" s="56">
        <v>-0.36549999999999999</v>
      </c>
      <c r="D10" s="56">
        <v>-0.26469999999999999</v>
      </c>
      <c r="E10" s="56">
        <v>-2.6700000000000002E-2</v>
      </c>
      <c r="F10" s="56">
        <v>-0.19939999999999999</v>
      </c>
      <c r="G10" s="56">
        <v>-0.111</v>
      </c>
      <c r="H10" s="56">
        <v>-0.33600000000000002</v>
      </c>
      <c r="I10" s="56">
        <v>-0.27339999999999998</v>
      </c>
      <c r="J10" s="56">
        <v>-8.3500000000000005E-2</v>
      </c>
      <c r="K10" s="56">
        <v>-9.0499999999999997E-2</v>
      </c>
      <c r="L10" s="56">
        <v>-0.16210000000000002</v>
      </c>
      <c r="M10" s="56">
        <v>-0.27360000000000001</v>
      </c>
      <c r="N10" s="56">
        <v>-0.1699</v>
      </c>
      <c r="O10" s="56">
        <v>-1.9400000000000001E-2</v>
      </c>
      <c r="P10" s="56">
        <v>-0.3518</v>
      </c>
      <c r="Q10" s="56">
        <v>-0.1666</v>
      </c>
      <c r="R10" s="56">
        <v>-0.12720000000000001</v>
      </c>
      <c r="S10" s="56">
        <v>-9.7500000000000003E-2</v>
      </c>
      <c r="T10" s="56">
        <v>-0.1361</v>
      </c>
      <c r="U10" s="124">
        <v>-0.18890000000000001</v>
      </c>
    </row>
    <row r="11" spans="1:21" x14ac:dyDescent="0.45">
      <c r="A11" s="123">
        <v>-8.5199999999999998E-2</v>
      </c>
      <c r="B11" s="56">
        <v>-0.1129</v>
      </c>
      <c r="C11" s="56">
        <v>0.2051</v>
      </c>
      <c r="D11" s="56">
        <v>-5.3100000000000001E-2</v>
      </c>
      <c r="E11" s="56">
        <v>9.7899999999999987E-2</v>
      </c>
      <c r="F11" s="56">
        <v>-8.2900000000000001E-2</v>
      </c>
      <c r="G11" s="56">
        <v>-0.1163</v>
      </c>
      <c r="H11" s="56">
        <v>-0.1074</v>
      </c>
      <c r="I11" s="56">
        <v>-7.3700000000000002E-2</v>
      </c>
      <c r="J11" s="56">
        <v>-0.1867</v>
      </c>
      <c r="K11" s="56">
        <v>-2.5500000000000002E-2</v>
      </c>
      <c r="L11" s="56">
        <v>-2.7500000000000004E-2</v>
      </c>
      <c r="M11" s="56">
        <v>-8.3299999999999999E-2</v>
      </c>
      <c r="N11" s="56">
        <v>2.7899999999999994E-2</v>
      </c>
      <c r="O11" s="56">
        <v>-0.10589999999999999</v>
      </c>
      <c r="P11" s="56">
        <v>2.8399999999999995E-2</v>
      </c>
      <c r="Q11" s="56">
        <v>-0.12490000000000001</v>
      </c>
      <c r="R11" s="56">
        <v>-7.9200000000000007E-2</v>
      </c>
      <c r="S11" s="56">
        <v>-0.12390000000000001</v>
      </c>
      <c r="T11" s="56">
        <v>-0.11749999999999999</v>
      </c>
      <c r="U11" s="124">
        <v>-2.0000000000000018E-3</v>
      </c>
    </row>
    <row r="12" spans="1:21" x14ac:dyDescent="0.45">
      <c r="A12" s="123">
        <v>-6.8100000000000008E-2</v>
      </c>
      <c r="B12" s="56">
        <v>-0.108</v>
      </c>
      <c r="C12" s="56">
        <v>-0.15589999999999998</v>
      </c>
      <c r="D12" s="56">
        <v>-0.11560000000000001</v>
      </c>
      <c r="E12" s="56">
        <v>-6.8100000000000008E-2</v>
      </c>
      <c r="F12" s="56">
        <v>-0.1588</v>
      </c>
      <c r="G12" s="56">
        <v>8.6999999999999994E-3</v>
      </c>
      <c r="H12" s="56">
        <v>2.0400000000000001E-2</v>
      </c>
      <c r="I12" s="56">
        <v>-5.5400000000000005E-2</v>
      </c>
      <c r="J12" s="56">
        <v>-9.2499999999999999E-2</v>
      </c>
      <c r="K12" s="56">
        <v>-0.1409</v>
      </c>
      <c r="L12" s="56">
        <v>-1.8600000000000005E-2</v>
      </c>
      <c r="M12" s="56">
        <v>-0.1011</v>
      </c>
      <c r="N12" s="56">
        <v>-8.7599999999999997E-2</v>
      </c>
      <c r="O12" s="56">
        <v>1.1099999999999999E-2</v>
      </c>
      <c r="P12" s="56">
        <v>9.3999999999999917E-3</v>
      </c>
      <c r="Q12" s="56">
        <v>-4.5900000000000003E-2</v>
      </c>
      <c r="R12" s="56">
        <v>-0.13290000000000002</v>
      </c>
      <c r="S12" s="56">
        <v>-0.1221</v>
      </c>
      <c r="T12" s="56">
        <v>-0.12390000000000001</v>
      </c>
      <c r="U12" s="124">
        <v>-9.8000000000000032E-3</v>
      </c>
    </row>
    <row r="13" spans="1:21" x14ac:dyDescent="0.45">
      <c r="A13" s="123">
        <v>-0.12720000000000001</v>
      </c>
      <c r="B13" s="56">
        <v>-0.1109</v>
      </c>
      <c r="C13" s="56">
        <v>-1.3299999999999999E-2</v>
      </c>
      <c r="D13" s="56">
        <v>0.12620000000000001</v>
      </c>
      <c r="E13" s="56">
        <v>-0.1293</v>
      </c>
      <c r="F13" s="56">
        <v>-7.1300000000000002E-2</v>
      </c>
      <c r="G13" s="56">
        <v>-0.15110000000000001</v>
      </c>
      <c r="H13" s="56">
        <v>-0.10200000000000001</v>
      </c>
      <c r="I13" s="56">
        <v>-8.8900000000000007E-2</v>
      </c>
      <c r="J13" s="56">
        <v>-0.14700000000000002</v>
      </c>
      <c r="K13" s="56">
        <v>-0.22550000000000001</v>
      </c>
      <c r="L13" s="56">
        <v>-8.5000000000000006E-2</v>
      </c>
      <c r="M13" s="56">
        <v>-0.13850000000000001</v>
      </c>
      <c r="N13" s="56">
        <v>-9.6700000000000008E-2</v>
      </c>
      <c r="O13" s="56">
        <v>-0.2034</v>
      </c>
      <c r="P13" s="56">
        <v>-0.1149</v>
      </c>
      <c r="Q13" s="56">
        <v>-0.1225</v>
      </c>
      <c r="R13" s="56">
        <v>-0.11310000000000001</v>
      </c>
      <c r="S13" s="56">
        <v>-0.20930000000000001</v>
      </c>
      <c r="T13" s="56">
        <v>-0.1532</v>
      </c>
      <c r="U13" s="124">
        <v>-0.15360000000000001</v>
      </c>
    </row>
    <row r="14" spans="1:21" ht="14.35" thickBot="1" x14ac:dyDescent="0.5">
      <c r="A14" s="125">
        <v>-4.2200000000000001E-2</v>
      </c>
      <c r="B14" s="74">
        <v>-5.2700000000000004E-2</v>
      </c>
      <c r="C14" s="74">
        <v>0.11710000000000001</v>
      </c>
      <c r="D14" s="74">
        <v>-7.4499999999999997E-2</v>
      </c>
      <c r="E14" s="74">
        <v>-0.13840000000000002</v>
      </c>
      <c r="F14" s="74">
        <v>-0.1028</v>
      </c>
      <c r="G14" s="74">
        <v>-0.16739999999999999</v>
      </c>
      <c r="H14" s="74">
        <v>-0.1696</v>
      </c>
      <c r="I14" s="74">
        <v>-0.11380000000000001</v>
      </c>
      <c r="J14" s="74">
        <v>-0.12279999999999999</v>
      </c>
      <c r="K14" s="74">
        <v>-4.6100000000000002E-2</v>
      </c>
      <c r="L14" s="74">
        <v>-4.0599999999999997E-2</v>
      </c>
      <c r="M14" s="74">
        <v>-3.4200000000000001E-2</v>
      </c>
      <c r="N14" s="74">
        <v>-8.610000000000001E-2</v>
      </c>
      <c r="O14" s="74">
        <v>-3.9400000000000004E-2</v>
      </c>
      <c r="P14" s="74">
        <v>-2.2200000000000004E-2</v>
      </c>
      <c r="Q14" s="74">
        <v>-0.17030000000000001</v>
      </c>
      <c r="R14" s="74">
        <v>-4.5200000000000004E-2</v>
      </c>
      <c r="S14" s="74">
        <v>-0.188</v>
      </c>
      <c r="T14" s="74">
        <v>4.5299999999999993E-2</v>
      </c>
      <c r="U14" s="126">
        <v>1.3399999999999995E-2</v>
      </c>
    </row>
    <row r="16" spans="1:21" x14ac:dyDescent="0.45">
      <c r="A16" s="56"/>
      <c r="B16" s="183" t="s">
        <v>238</v>
      </c>
    </row>
    <row r="18" spans="2:10" ht="14.35" x14ac:dyDescent="0.5">
      <c r="B18" t="s">
        <v>272</v>
      </c>
      <c r="C18"/>
      <c r="D18"/>
      <c r="E18"/>
      <c r="F18"/>
      <c r="G18"/>
      <c r="H18"/>
      <c r="I18"/>
      <c r="J18"/>
    </row>
    <row r="19" spans="2:10" ht="14.7" thickBot="1" x14ac:dyDescent="0.55000000000000004">
      <c r="B19"/>
      <c r="C19"/>
      <c r="D19"/>
      <c r="E19"/>
      <c r="F19"/>
      <c r="G19"/>
      <c r="H19"/>
      <c r="I19"/>
      <c r="J19"/>
    </row>
    <row r="20" spans="2:10" ht="14.35" x14ac:dyDescent="0.5">
      <c r="B20" s="190" t="s">
        <v>273</v>
      </c>
      <c r="C20" s="190"/>
      <c r="D20"/>
      <c r="E20"/>
      <c r="F20"/>
      <c r="G20"/>
      <c r="H20"/>
      <c r="I20"/>
      <c r="J20"/>
    </row>
    <row r="21" spans="2:10" ht="14.35" x14ac:dyDescent="0.5">
      <c r="B21" t="s">
        <v>274</v>
      </c>
      <c r="C21">
        <v>8.7566578337386722E-2</v>
      </c>
      <c r="D21"/>
      <c r="E21"/>
      <c r="F21"/>
      <c r="G21"/>
      <c r="H21"/>
      <c r="I21"/>
      <c r="J21"/>
    </row>
    <row r="22" spans="2:10" ht="14.35" x14ac:dyDescent="0.5">
      <c r="B22" t="s">
        <v>275</v>
      </c>
      <c r="C22">
        <v>7.667905641717686E-3</v>
      </c>
      <c r="D22"/>
      <c r="E22"/>
      <c r="F22"/>
      <c r="G22"/>
      <c r="H22"/>
      <c r="I22"/>
      <c r="J22"/>
    </row>
    <row r="23" spans="2:10" ht="14.35" x14ac:dyDescent="0.5">
      <c r="B23" t="s">
        <v>276</v>
      </c>
      <c r="C23">
        <v>-9.1565303794110542E-2</v>
      </c>
      <c r="D23"/>
      <c r="E23"/>
      <c r="F23"/>
      <c r="G23"/>
      <c r="H23"/>
      <c r="I23"/>
      <c r="J23"/>
    </row>
    <row r="24" spans="2:10" ht="14.35" x14ac:dyDescent="0.5">
      <c r="B24" t="s">
        <v>277</v>
      </c>
      <c r="C24">
        <v>0.14133143434177128</v>
      </c>
      <c r="D24"/>
      <c r="E24"/>
      <c r="F24"/>
      <c r="G24"/>
      <c r="H24"/>
      <c r="I24"/>
      <c r="J24"/>
    </row>
    <row r="25" spans="2:10" ht="14.7" thickBot="1" x14ac:dyDescent="0.55000000000000004">
      <c r="B25" s="188" t="s">
        <v>278</v>
      </c>
      <c r="C25" s="188">
        <v>12</v>
      </c>
      <c r="D25"/>
      <c r="E25"/>
      <c r="F25"/>
      <c r="G25"/>
      <c r="H25"/>
      <c r="I25"/>
      <c r="J25"/>
    </row>
    <row r="26" spans="2:10" ht="14.35" x14ac:dyDescent="0.5">
      <c r="B26"/>
      <c r="C26"/>
      <c r="D26"/>
      <c r="E26"/>
      <c r="F26"/>
      <c r="G26"/>
      <c r="H26"/>
      <c r="I26"/>
      <c r="J26"/>
    </row>
    <row r="27" spans="2:10" ht="14.7" thickBot="1" x14ac:dyDescent="0.55000000000000004">
      <c r="B27" t="s">
        <v>279</v>
      </c>
      <c r="C27"/>
      <c r="D27"/>
      <c r="E27"/>
      <c r="F27"/>
      <c r="G27"/>
      <c r="H27"/>
      <c r="I27"/>
      <c r="J27"/>
    </row>
    <row r="28" spans="2:10" ht="14.35" x14ac:dyDescent="0.5">
      <c r="B28" s="189"/>
      <c r="C28" s="189" t="s">
        <v>283</v>
      </c>
      <c r="D28" s="189" t="s">
        <v>284</v>
      </c>
      <c r="E28" s="189" t="s">
        <v>285</v>
      </c>
      <c r="F28" s="189" t="s">
        <v>286</v>
      </c>
      <c r="G28" s="189" t="s">
        <v>287</v>
      </c>
      <c r="H28"/>
      <c r="I28"/>
      <c r="J28"/>
    </row>
    <row r="29" spans="2:10" ht="14.35" x14ac:dyDescent="0.5">
      <c r="B29" t="s">
        <v>280</v>
      </c>
      <c r="C29">
        <v>1</v>
      </c>
      <c r="D29">
        <v>1.5434666689758958E-3</v>
      </c>
      <c r="E29">
        <v>1.5434666689758958E-3</v>
      </c>
      <c r="F29">
        <v>7.7271567505597397E-2</v>
      </c>
      <c r="G29">
        <v>0.7866921772304788</v>
      </c>
      <c r="H29"/>
      <c r="I29"/>
      <c r="J29"/>
    </row>
    <row r="30" spans="2:10" ht="14.35" x14ac:dyDescent="0.5">
      <c r="B30" t="s">
        <v>281</v>
      </c>
      <c r="C30">
        <v>10</v>
      </c>
      <c r="D30">
        <v>0.19974574333102407</v>
      </c>
      <c r="E30">
        <v>1.9974574333102409E-2</v>
      </c>
      <c r="F30"/>
      <c r="G30"/>
      <c r="H30"/>
      <c r="I30"/>
      <c r="J30"/>
    </row>
    <row r="31" spans="2:10" ht="14.7" thickBot="1" x14ac:dyDescent="0.55000000000000004">
      <c r="B31" s="188" t="s">
        <v>255</v>
      </c>
      <c r="C31" s="188">
        <v>11</v>
      </c>
      <c r="D31" s="188">
        <v>0.20128920999999997</v>
      </c>
      <c r="E31" s="188"/>
      <c r="F31" s="188"/>
      <c r="G31" s="188"/>
      <c r="H31"/>
      <c r="I31"/>
      <c r="J31"/>
    </row>
    <row r="32" spans="2:10" ht="14.7" thickBot="1" x14ac:dyDescent="0.55000000000000004">
      <c r="B32"/>
      <c r="C32"/>
      <c r="D32"/>
      <c r="E32"/>
      <c r="F32"/>
      <c r="G32"/>
      <c r="H32"/>
      <c r="I32"/>
      <c r="J32"/>
    </row>
    <row r="33" spans="2:10" ht="14.35" x14ac:dyDescent="0.5">
      <c r="B33" s="189"/>
      <c r="C33" s="189" t="s">
        <v>288</v>
      </c>
      <c r="D33" s="189" t="s">
        <v>277</v>
      </c>
      <c r="E33" s="189" t="s">
        <v>289</v>
      </c>
      <c r="F33" s="189" t="s">
        <v>290</v>
      </c>
      <c r="G33" s="189" t="s">
        <v>291</v>
      </c>
      <c r="H33" s="189" t="s">
        <v>292</v>
      </c>
      <c r="I33" s="189" t="s">
        <v>293</v>
      </c>
      <c r="J33" s="189" t="s">
        <v>294</v>
      </c>
    </row>
    <row r="34" spans="2:10" ht="14.35" x14ac:dyDescent="0.5">
      <c r="B34" t="s">
        <v>282</v>
      </c>
      <c r="C34">
        <v>-3.8723597920075126E-2</v>
      </c>
      <c r="D34">
        <v>8.4678415982594152E-2</v>
      </c>
      <c r="E34">
        <v>-0.45730186932210509</v>
      </c>
      <c r="F34">
        <v>0.6572279846367215</v>
      </c>
      <c r="G34">
        <v>-0.22739886649554863</v>
      </c>
      <c r="H34">
        <v>0.14995167065539838</v>
      </c>
      <c r="I34">
        <v>-0.22739886649554863</v>
      </c>
      <c r="J34">
        <v>0.14995167065539838</v>
      </c>
    </row>
    <row r="35" spans="2:10" ht="14.7" thickBot="1" x14ac:dyDescent="0.55000000000000004">
      <c r="B35" s="188" t="s">
        <v>295</v>
      </c>
      <c r="C35" s="188">
        <v>0.31454673396759253</v>
      </c>
      <c r="D35" s="188">
        <v>1.1315540907024484</v>
      </c>
      <c r="E35" s="188">
        <v>0.27797763849921447</v>
      </c>
      <c r="F35" s="188">
        <v>0.78669217723047535</v>
      </c>
      <c r="G35" s="188">
        <v>-2.2067128986505335</v>
      </c>
      <c r="H35" s="188">
        <v>2.8358063665857185</v>
      </c>
      <c r="I35" s="188">
        <v>-2.2067128986505335</v>
      </c>
      <c r="J35" s="188">
        <v>2.8358063665857185</v>
      </c>
    </row>
    <row r="36" spans="2:10" ht="14.35" x14ac:dyDescent="0.5">
      <c r="B36"/>
      <c r="C36"/>
      <c r="D36"/>
      <c r="E36"/>
      <c r="F36"/>
      <c r="G36"/>
      <c r="H36"/>
      <c r="I36"/>
      <c r="J36"/>
    </row>
    <row r="37" spans="2:10" ht="14.35" x14ac:dyDescent="0.5">
      <c r="B37"/>
      <c r="C37"/>
      <c r="D37"/>
      <c r="E37"/>
      <c r="F37"/>
      <c r="G37"/>
      <c r="H37"/>
      <c r="I37"/>
      <c r="J37"/>
    </row>
    <row r="38" spans="2:10" ht="14.35" x14ac:dyDescent="0.5">
      <c r="B38"/>
      <c r="C38"/>
      <c r="D38"/>
      <c r="E38"/>
      <c r="F38"/>
      <c r="G38"/>
      <c r="H38"/>
      <c r="I38"/>
      <c r="J38"/>
    </row>
    <row r="39" spans="2:10" ht="14.35" x14ac:dyDescent="0.5">
      <c r="B39" t="s">
        <v>296</v>
      </c>
      <c r="C39"/>
      <c r="D39"/>
      <c r="E39"/>
      <c r="F39"/>
      <c r="G39"/>
      <c r="H39"/>
      <c r="I39"/>
      <c r="J39"/>
    </row>
    <row r="40" spans="2:10" ht="14.7" thickBot="1" x14ac:dyDescent="0.55000000000000004">
      <c r="B40"/>
      <c r="C40"/>
      <c r="D40"/>
      <c r="E40"/>
      <c r="F40"/>
      <c r="G40"/>
      <c r="H40"/>
      <c r="I40"/>
      <c r="J40"/>
    </row>
    <row r="41" spans="2:10" ht="14.35" x14ac:dyDescent="0.5">
      <c r="B41" s="189" t="s">
        <v>297</v>
      </c>
      <c r="C41" s="189" t="s">
        <v>298</v>
      </c>
      <c r="D41" s="189" t="s">
        <v>299</v>
      </c>
      <c r="E41"/>
      <c r="F41"/>
      <c r="G41"/>
      <c r="H41"/>
      <c r="I41"/>
      <c r="J41"/>
    </row>
    <row r="42" spans="2:10" ht="14.35" x14ac:dyDescent="0.5">
      <c r="B42">
        <v>1</v>
      </c>
      <c r="C42">
        <v>-5.7879494018701516E-2</v>
      </c>
      <c r="D42">
        <v>-3.8720505981298489E-2</v>
      </c>
      <c r="E42"/>
      <c r="F42"/>
      <c r="G42"/>
      <c r="H42"/>
      <c r="I42"/>
      <c r="J42"/>
    </row>
    <row r="43" spans="2:10" ht="14.35" x14ac:dyDescent="0.5">
      <c r="B43">
        <v>2</v>
      </c>
      <c r="C43">
        <v>-6.8385354933219095E-2</v>
      </c>
      <c r="D43">
        <v>-0.10671464506678091</v>
      </c>
      <c r="E43"/>
      <c r="F43"/>
      <c r="G43"/>
      <c r="H43"/>
      <c r="I43"/>
      <c r="J43"/>
    </row>
    <row r="44" spans="2:10" ht="14.35" x14ac:dyDescent="0.5">
      <c r="B44">
        <v>3</v>
      </c>
      <c r="C44">
        <v>-4.941818687497327E-2</v>
      </c>
      <c r="D44">
        <v>-5.2781813125026729E-2</v>
      </c>
      <c r="E44"/>
      <c r="F44"/>
      <c r="G44"/>
      <c r="H44"/>
      <c r="I44"/>
      <c r="J44"/>
    </row>
    <row r="45" spans="2:10" ht="14.35" x14ac:dyDescent="0.5">
      <c r="B45">
        <v>4</v>
      </c>
      <c r="C45">
        <v>-5.3790386477122809E-2</v>
      </c>
      <c r="D45">
        <v>0.30159038647712283</v>
      </c>
      <c r="E45"/>
      <c r="F45"/>
      <c r="G45"/>
      <c r="H45"/>
      <c r="I45"/>
      <c r="J45"/>
    </row>
    <row r="46" spans="2:10" ht="14.35" x14ac:dyDescent="0.5">
      <c r="B46">
        <v>5</v>
      </c>
      <c r="C46">
        <v>-4.8285818632689936E-2</v>
      </c>
      <c r="D46">
        <v>-1.7114181367310063E-2</v>
      </c>
      <c r="E46"/>
      <c r="F46"/>
      <c r="G46"/>
      <c r="H46"/>
      <c r="I46"/>
      <c r="J46"/>
    </row>
    <row r="47" spans="2:10" ht="14.35" x14ac:dyDescent="0.5">
      <c r="B47">
        <v>6</v>
      </c>
      <c r="C47">
        <v>-3.9352691388010314E-2</v>
      </c>
      <c r="D47">
        <v>4.0752691388010312E-2</v>
      </c>
      <c r="E47"/>
      <c r="F47"/>
      <c r="G47"/>
      <c r="H47"/>
      <c r="I47"/>
      <c r="J47"/>
    </row>
    <row r="48" spans="2:10" ht="14.35" x14ac:dyDescent="0.5">
      <c r="B48">
        <v>7</v>
      </c>
      <c r="C48">
        <v>-7.7695938258659836E-2</v>
      </c>
      <c r="D48">
        <v>-6.2704061741340161E-2</v>
      </c>
      <c r="E48"/>
      <c r="F48"/>
      <c r="G48"/>
      <c r="H48"/>
      <c r="I48"/>
      <c r="J48"/>
    </row>
    <row r="49" spans="2:10" ht="14.35" x14ac:dyDescent="0.5">
      <c r="B49">
        <v>8</v>
      </c>
      <c r="C49">
        <v>-6.0993506684980672E-2</v>
      </c>
      <c r="D49">
        <v>-0.20370649331501933</v>
      </c>
      <c r="E49"/>
      <c r="F49"/>
      <c r="G49"/>
      <c r="H49"/>
      <c r="I49"/>
      <c r="J49"/>
    </row>
    <row r="50" spans="2:10" ht="14.35" x14ac:dyDescent="0.5">
      <c r="B50">
        <v>9</v>
      </c>
      <c r="C50">
        <v>-6.5522979654114008E-2</v>
      </c>
      <c r="D50">
        <v>1.2422979654114007E-2</v>
      </c>
      <c r="E50"/>
      <c r="F50"/>
      <c r="G50"/>
      <c r="H50"/>
      <c r="I50"/>
      <c r="J50"/>
    </row>
    <row r="51" spans="2:10" ht="14.35" x14ac:dyDescent="0.5">
      <c r="B51">
        <v>10</v>
      </c>
      <c r="C51">
        <v>-6.0144230503268184E-2</v>
      </c>
      <c r="D51">
        <v>-5.5455769496731824E-2</v>
      </c>
      <c r="E51"/>
      <c r="F51"/>
      <c r="G51"/>
      <c r="H51"/>
      <c r="I51"/>
      <c r="J51"/>
    </row>
    <row r="52" spans="2:10" ht="14.35" x14ac:dyDescent="0.5">
      <c r="B52">
        <v>11</v>
      </c>
      <c r="C52">
        <v>-7.8733942480752897E-2</v>
      </c>
      <c r="D52">
        <v>0.20493394248075292</v>
      </c>
      <c r="E52"/>
      <c r="F52"/>
      <c r="G52"/>
      <c r="H52"/>
      <c r="I52"/>
      <c r="J52"/>
    </row>
    <row r="53" spans="2:10" ht="14.7" thickBot="1" x14ac:dyDescent="0.55000000000000004">
      <c r="B53" s="188">
        <v>12</v>
      </c>
      <c r="C53" s="188">
        <v>-5.1997470093507532E-2</v>
      </c>
      <c r="D53" s="188">
        <v>-2.2502529906492465E-2</v>
      </c>
      <c r="E53"/>
      <c r="F53"/>
      <c r="G53"/>
      <c r="H53"/>
      <c r="I53"/>
      <c r="J5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showGridLines="0" zoomScale="95" workbookViewId="0">
      <selection activeCell="F38" sqref="F38"/>
    </sheetView>
  </sheetViews>
  <sheetFormatPr defaultColWidth="8.87890625" defaultRowHeight="14" x14ac:dyDescent="0.45"/>
  <cols>
    <col min="1" max="1" width="31.41015625" style="1" bestFit="1" customWidth="1"/>
    <col min="2" max="2" width="8" style="1" bestFit="1" customWidth="1"/>
    <col min="3" max="3" width="7" style="1" bestFit="1" customWidth="1"/>
    <col min="4" max="4" width="20.3515625" style="1" bestFit="1" customWidth="1"/>
    <col min="5" max="5" width="19.52734375" style="1" bestFit="1" customWidth="1"/>
    <col min="6" max="6" width="18.52734375" style="1" customWidth="1"/>
    <col min="7" max="16384" width="8.87890625" style="1"/>
  </cols>
  <sheetData>
    <row r="1" spans="1:6" ht="17.7" thickBot="1" x14ac:dyDescent="0.55000000000000004">
      <c r="A1" s="43" t="s">
        <v>228</v>
      </c>
      <c r="B1" s="44"/>
      <c r="C1" s="44"/>
      <c r="D1" s="44"/>
      <c r="E1" s="44"/>
      <c r="F1" s="45"/>
    </row>
    <row r="2" spans="1:6" ht="14.35" thickBot="1" x14ac:dyDescent="0.5">
      <c r="A2" s="31" t="s">
        <v>0</v>
      </c>
      <c r="B2" s="33" t="s">
        <v>1</v>
      </c>
      <c r="C2" s="35" t="s">
        <v>2</v>
      </c>
      <c r="D2" s="35" t="s">
        <v>3</v>
      </c>
      <c r="E2" s="34" t="s">
        <v>4</v>
      </c>
      <c r="F2" s="36" t="s">
        <v>5</v>
      </c>
    </row>
    <row r="3" spans="1:6" x14ac:dyDescent="0.45">
      <c r="A3" s="20" t="s">
        <v>44</v>
      </c>
      <c r="B3" s="65">
        <f>Active_Portfolio!J3</f>
        <v>4.4622195121951203E-2</v>
      </c>
      <c r="C3" s="66">
        <v>1.2763749807092366</v>
      </c>
      <c r="D3" s="7">
        <v>2.6326460034227961E-3</v>
      </c>
      <c r="E3" s="67">
        <f>B3/D3/100</f>
        <v>0.16949561416132786</v>
      </c>
      <c r="F3" s="21">
        <f>E3/$E$23</f>
        <v>3.1803155688920545E-2</v>
      </c>
    </row>
    <row r="4" spans="1:6" x14ac:dyDescent="0.45">
      <c r="A4" s="22" t="s">
        <v>26</v>
      </c>
      <c r="B4" s="60">
        <f>Active_Portfolio!J4</f>
        <v>0.41568385852677758</v>
      </c>
      <c r="C4" s="59">
        <v>1.0451454343270299</v>
      </c>
      <c r="D4" s="16">
        <v>2.82281431344336E-2</v>
      </c>
      <c r="E4" s="61">
        <f t="shared" ref="E4:E22" si="0">B4/D4/100</f>
        <v>0.14725866187766101</v>
      </c>
      <c r="F4" s="23">
        <f t="shared" ref="F4:F22" si="1">E4/$E$23</f>
        <v>2.7630745334683134E-2</v>
      </c>
    </row>
    <row r="5" spans="1:6" x14ac:dyDescent="0.45">
      <c r="A5" s="22" t="s">
        <v>38</v>
      </c>
      <c r="B5" s="60">
        <f>Active_Portfolio!J5</f>
        <v>0.13497862383864068</v>
      </c>
      <c r="C5" s="59">
        <v>0.31454673396759253</v>
      </c>
      <c r="D5" s="16">
        <v>1.8158703939184007E-2</v>
      </c>
      <c r="E5" s="61">
        <f t="shared" si="0"/>
        <v>7.433274108697549E-2</v>
      </c>
      <c r="F5" s="23">
        <f t="shared" si="1"/>
        <v>1.3947356391907613E-2</v>
      </c>
    </row>
    <row r="6" spans="1:6" x14ac:dyDescent="0.45">
      <c r="A6" s="22" t="s">
        <v>27</v>
      </c>
      <c r="B6" s="60">
        <f>Active_Portfolio!J6</f>
        <v>4.355862699338775E-2</v>
      </c>
      <c r="C6" s="59">
        <v>1.018305351910799</v>
      </c>
      <c r="D6" s="16">
        <v>1.3830833572622568E-2</v>
      </c>
      <c r="E6" s="61">
        <f t="shared" si="0"/>
        <v>3.1493855207404012E-2</v>
      </c>
      <c r="F6" s="23">
        <f t="shared" si="1"/>
        <v>5.9093209305820316E-3</v>
      </c>
    </row>
    <row r="7" spans="1:6" x14ac:dyDescent="0.45">
      <c r="A7" s="22" t="s">
        <v>28</v>
      </c>
      <c r="B7" s="60">
        <f>Active_Portfolio!J7</f>
        <v>4.2245325077399476E-2</v>
      </c>
      <c r="C7" s="59">
        <v>0.51869052615587108</v>
      </c>
      <c r="D7" s="16">
        <v>2.715310238624175E-3</v>
      </c>
      <c r="E7" s="61">
        <f t="shared" si="0"/>
        <v>0.15558194594664376</v>
      </c>
      <c r="F7" s="23">
        <f t="shared" si="1"/>
        <v>2.9192477184788821E-2</v>
      </c>
    </row>
    <row r="8" spans="1:6" x14ac:dyDescent="0.45">
      <c r="A8" s="22" t="s">
        <v>37</v>
      </c>
      <c r="B8" s="60">
        <f>Active_Portfolio!J8</f>
        <v>1.8278305807139239E-2</v>
      </c>
      <c r="C8" s="59">
        <v>1.0558530700078026</v>
      </c>
      <c r="D8" s="16">
        <v>5.1113615474489846E-3</v>
      </c>
      <c r="E8" s="61">
        <f t="shared" si="0"/>
        <v>3.5760150475486731E-2</v>
      </c>
      <c r="F8" s="23">
        <f t="shared" si="1"/>
        <v>6.7098233701118025E-3</v>
      </c>
    </row>
    <row r="9" spans="1:6" x14ac:dyDescent="0.45">
      <c r="A9" s="22" t="s">
        <v>31</v>
      </c>
      <c r="B9" s="60">
        <f>Active_Portfolio!J9</f>
        <v>0.25896598046918856</v>
      </c>
      <c r="C9" s="59">
        <v>1.4221051395080759</v>
      </c>
      <c r="D9" s="16">
        <v>9.7488915532862198E-3</v>
      </c>
      <c r="E9" s="61">
        <f t="shared" si="0"/>
        <v>0.26563633317050761</v>
      </c>
      <c r="F9" s="23">
        <f t="shared" si="1"/>
        <v>4.9842432220190962E-2</v>
      </c>
    </row>
    <row r="10" spans="1:6" x14ac:dyDescent="0.45">
      <c r="A10" s="22" t="s">
        <v>30</v>
      </c>
      <c r="B10" s="60">
        <f>Active_Portfolio!J10</f>
        <v>4.6659867490447926E-2</v>
      </c>
      <c r="C10" s="59">
        <v>0.62620678448335132</v>
      </c>
      <c r="D10" s="16">
        <v>6.369993193883019E-3</v>
      </c>
      <c r="E10" s="61">
        <f t="shared" si="0"/>
        <v>7.3249477778491959E-2</v>
      </c>
      <c r="F10" s="23">
        <f t="shared" si="1"/>
        <v>1.3744099264445862E-2</v>
      </c>
    </row>
    <row r="11" spans="1:6" x14ac:dyDescent="0.45">
      <c r="A11" s="22" t="s">
        <v>29</v>
      </c>
      <c r="B11" s="60">
        <f>Active_Portfolio!J11</f>
        <v>0.15265164392515718</v>
      </c>
      <c r="C11" s="59">
        <v>1.1477083534654382</v>
      </c>
      <c r="D11" s="16">
        <v>2.9991221527429853E-3</v>
      </c>
      <c r="E11" s="61">
        <f t="shared" si="0"/>
        <v>0.50898775091752291</v>
      </c>
      <c r="F11" s="23">
        <f t="shared" si="1"/>
        <v>9.5503454565946028E-2</v>
      </c>
    </row>
    <row r="12" spans="1:6" x14ac:dyDescent="0.45">
      <c r="A12" s="22" t="s">
        <v>34</v>
      </c>
      <c r="B12" s="60">
        <f>Active_Portfolio!J12</f>
        <v>0.1085415565328085</v>
      </c>
      <c r="C12" s="59">
        <v>2.4189474638996296</v>
      </c>
      <c r="D12" s="16">
        <v>2.0791724852174797E-3</v>
      </c>
      <c r="E12" s="61">
        <f t="shared" si="0"/>
        <v>0.52204209753889241</v>
      </c>
      <c r="F12" s="23">
        <f t="shared" si="1"/>
        <v>9.7952895043039348E-2</v>
      </c>
    </row>
    <row r="13" spans="1:6" x14ac:dyDescent="0.45">
      <c r="A13" s="22" t="s">
        <v>32</v>
      </c>
      <c r="B13" s="60">
        <f>Active_Portfolio!J13</f>
        <v>2.8649171383756111E-3</v>
      </c>
      <c r="C13" s="59">
        <v>0.87031879478842478</v>
      </c>
      <c r="D13" s="16">
        <v>3.277714475043496E-3</v>
      </c>
      <c r="E13" s="61">
        <f t="shared" si="0"/>
        <v>8.7405939723825196E-3</v>
      </c>
      <c r="F13" s="23">
        <f t="shared" si="1"/>
        <v>1.6400334149811022E-3</v>
      </c>
    </row>
    <row r="14" spans="1:6" x14ac:dyDescent="0.45">
      <c r="A14" s="22" t="s">
        <v>40</v>
      </c>
      <c r="B14" s="60">
        <f>Active_Portfolio!J14</f>
        <v>1.9544738366479908E-2</v>
      </c>
      <c r="C14" s="59">
        <v>1.3532675227839333</v>
      </c>
      <c r="D14" s="16">
        <v>6.1324882695850532E-3</v>
      </c>
      <c r="E14" s="61">
        <f t="shared" si="0"/>
        <v>3.1870812478215105E-2</v>
      </c>
      <c r="F14" s="23">
        <f t="shared" si="1"/>
        <v>5.9800509658752459E-3</v>
      </c>
    </row>
    <row r="15" spans="1:6" x14ac:dyDescent="0.45">
      <c r="A15" s="22" t="s">
        <v>41</v>
      </c>
      <c r="B15" s="60">
        <f>Active_Portfolio!J15</f>
        <v>4.7475534651107543E-2</v>
      </c>
      <c r="C15" s="59">
        <v>0.53202571204351001</v>
      </c>
      <c r="D15" s="16">
        <v>3.854375647803028E-3</v>
      </c>
      <c r="E15" s="61">
        <f t="shared" si="0"/>
        <v>0.12317308687379323</v>
      </c>
      <c r="F15" s="23">
        <f t="shared" si="1"/>
        <v>2.311147033458729E-2</v>
      </c>
    </row>
    <row r="16" spans="1:6" x14ac:dyDescent="0.45">
      <c r="A16" s="22" t="s">
        <v>42</v>
      </c>
      <c r="B16" s="60">
        <f>Active_Portfolio!J16</f>
        <v>0.20341817139408569</v>
      </c>
      <c r="C16" s="59">
        <v>0.76133731985071207</v>
      </c>
      <c r="D16" s="16">
        <v>4.5919664017362504E-3</v>
      </c>
      <c r="E16" s="61">
        <f t="shared" si="0"/>
        <v>0.44298706392357756</v>
      </c>
      <c r="F16" s="23">
        <f t="shared" si="1"/>
        <v>8.3119475579644497E-2</v>
      </c>
    </row>
    <row r="17" spans="1:7" x14ac:dyDescent="0.45">
      <c r="A17" s="22" t="s">
        <v>35</v>
      </c>
      <c r="B17" s="60">
        <f>Active_Portfolio!J17</f>
        <v>4.6246753246748096E-4</v>
      </c>
      <c r="C17" s="59">
        <v>1.2818554004441962</v>
      </c>
      <c r="D17" s="16">
        <v>1.0538625466474005E-2</v>
      </c>
      <c r="E17" s="61">
        <f t="shared" si="0"/>
        <v>4.3883097842190662E-4</v>
      </c>
      <c r="F17" s="23">
        <f t="shared" si="1"/>
        <v>8.2339652249582983E-5</v>
      </c>
    </row>
    <row r="18" spans="1:7" x14ac:dyDescent="0.45">
      <c r="A18" s="22" t="s">
        <v>36</v>
      </c>
      <c r="B18" s="60">
        <f>Active_Portfolio!J18</f>
        <v>0.10190150159744393</v>
      </c>
      <c r="C18" s="59">
        <v>1.6218984739343523</v>
      </c>
      <c r="D18" s="16">
        <v>4.7664463897392276E-3</v>
      </c>
      <c r="E18" s="61">
        <f t="shared" si="0"/>
        <v>0.21378925359741427</v>
      </c>
      <c r="F18" s="23">
        <f t="shared" si="1"/>
        <v>4.0114152513144992E-2</v>
      </c>
    </row>
    <row r="19" spans="1:7" x14ac:dyDescent="0.45">
      <c r="A19" s="22" t="s">
        <v>25</v>
      </c>
      <c r="B19" s="60">
        <f>Active_Portfolio!J19</f>
        <v>0.45785382541720177</v>
      </c>
      <c r="C19" s="59">
        <v>1.8636314904103868</v>
      </c>
      <c r="D19" s="16">
        <v>2.5160019776460096E-3</v>
      </c>
      <c r="E19" s="61">
        <f t="shared" si="0"/>
        <v>1.8197673510796413</v>
      </c>
      <c r="F19" s="23">
        <f t="shared" si="1"/>
        <v>0.34145039486930268</v>
      </c>
    </row>
    <row r="20" spans="1:7" x14ac:dyDescent="0.45">
      <c r="A20" s="22" t="s">
        <v>39</v>
      </c>
      <c r="B20" s="60">
        <f>Active_Portfolio!J20</f>
        <v>2.5839495810671798E-2</v>
      </c>
      <c r="C20" s="59">
        <v>1.3396895497187273</v>
      </c>
      <c r="D20" s="16">
        <v>3.9635217181945839E-3</v>
      </c>
      <c r="E20" s="61">
        <f t="shared" si="0"/>
        <v>6.5193274183550823E-2</v>
      </c>
      <c r="F20" s="23">
        <f t="shared" si="1"/>
        <v>1.2232480816621672E-2</v>
      </c>
    </row>
    <row r="21" spans="1:7" x14ac:dyDescent="0.45">
      <c r="A21" s="22" t="s">
        <v>43</v>
      </c>
      <c r="B21" s="60">
        <f>Active_Portfolio!J21</f>
        <v>6.0264232365145165E-2</v>
      </c>
      <c r="C21" s="59">
        <v>1.4773327320544616</v>
      </c>
      <c r="D21" s="16">
        <v>1.456308656731608E-3</v>
      </c>
      <c r="E21" s="61">
        <f t="shared" si="0"/>
        <v>0.41381497038132098</v>
      </c>
      <c r="F21" s="23">
        <f t="shared" si="1"/>
        <v>7.7645796291323302E-2</v>
      </c>
    </row>
    <row r="22" spans="1:7" ht="14.35" thickBot="1" x14ac:dyDescent="0.5">
      <c r="A22" s="24" t="s">
        <v>33</v>
      </c>
      <c r="B22" s="62">
        <f>Active_Portfolio!J22</f>
        <v>9.4664789081885803E-2</v>
      </c>
      <c r="C22" s="63">
        <v>1.3765278164394315</v>
      </c>
      <c r="D22" s="28">
        <v>4.1904130094687873E-3</v>
      </c>
      <c r="E22" s="64">
        <f t="shared" si="0"/>
        <v>0.22590801638878627</v>
      </c>
      <c r="F22" s="30">
        <f t="shared" si="1"/>
        <v>4.2388045567653521E-2</v>
      </c>
    </row>
    <row r="23" spans="1:7" x14ac:dyDescent="0.45">
      <c r="E23" s="58">
        <f>SUM(E3:E22)</f>
        <v>5.3295218820180175</v>
      </c>
      <c r="F23" s="56"/>
    </row>
    <row r="25" spans="1:7" ht="14.35" thickBot="1" x14ac:dyDescent="0.5"/>
    <row r="26" spans="1:7" ht="17.7" thickBot="1" x14ac:dyDescent="0.55000000000000004">
      <c r="A26" s="43" t="s">
        <v>241</v>
      </c>
      <c r="B26" s="44"/>
      <c r="C26" s="44"/>
      <c r="D26" s="44"/>
      <c r="E26" s="44"/>
      <c r="F26" s="44"/>
      <c r="G26" s="75"/>
    </row>
    <row r="27" spans="1:7" ht="14.35" thickBot="1" x14ac:dyDescent="0.5">
      <c r="A27" s="31" t="s">
        <v>0</v>
      </c>
      <c r="B27" s="68" t="s">
        <v>1</v>
      </c>
      <c r="C27" s="68" t="s">
        <v>2</v>
      </c>
      <c r="D27" s="68" t="s">
        <v>3</v>
      </c>
      <c r="E27" s="68" t="s">
        <v>4</v>
      </c>
      <c r="F27" s="68" t="s">
        <v>5</v>
      </c>
      <c r="G27" s="69" t="s">
        <v>248</v>
      </c>
    </row>
    <row r="28" spans="1:7" x14ac:dyDescent="0.45">
      <c r="A28" s="20" t="str">
        <f>INDEX(Regression_Outputs!$A$3:$A$22,MATCH(Active_Portfolio!$A33,Active_Portfolio!$K$3:$K$22,0))</f>
        <v>Angel One Ltd.</v>
      </c>
      <c r="B28" s="65">
        <f t="shared" ref="B28:D37" si="2">INDEX(B$3:B$22,MATCH($A28,$A$3:$A$22,0))</f>
        <v>0.13497862383864068</v>
      </c>
      <c r="C28" s="66">
        <f t="shared" si="2"/>
        <v>0.31454673396759253</v>
      </c>
      <c r="D28" s="7">
        <f t="shared" si="2"/>
        <v>1.8158703939184007E-2</v>
      </c>
      <c r="E28" s="76">
        <f t="shared" ref="E28:E37" si="3">B28/D28/100</f>
        <v>7.433274108697549E-2</v>
      </c>
      <c r="F28" s="8">
        <f t="shared" ref="F28:F37" si="4">E28/$E$38</f>
        <v>2.2572669794344628E-2</v>
      </c>
      <c r="G28" s="85">
        <f t="shared" ref="G28:G37" si="5">C28*F28</f>
        <v>7.1001595607400316E-3</v>
      </c>
    </row>
    <row r="29" spans="1:7" x14ac:dyDescent="0.45">
      <c r="A29" s="22" t="str">
        <f>INDEX(Regression_Outputs!$A$3:$A$22,MATCH(Active_Portfolio!$A34,Active_Portfolio!$K$3:$K$22,0))</f>
        <v>Birlasoft Ltd.</v>
      </c>
      <c r="B29" s="60">
        <f t="shared" si="2"/>
        <v>1.8278305807139239E-2</v>
      </c>
      <c r="C29" s="59">
        <f t="shared" si="2"/>
        <v>1.0558530700078026</v>
      </c>
      <c r="D29" s="16">
        <f t="shared" si="2"/>
        <v>5.1113615474489846E-3</v>
      </c>
      <c r="E29" s="71">
        <f t="shared" si="3"/>
        <v>3.5760150475486731E-2</v>
      </c>
      <c r="F29" s="17">
        <f t="shared" si="4"/>
        <v>1.0859307173063139E-2</v>
      </c>
      <c r="G29" s="86">
        <f t="shared" si="5"/>
        <v>1.1465832816836467E-2</v>
      </c>
    </row>
    <row r="30" spans="1:7" x14ac:dyDescent="0.45">
      <c r="A30" s="22" t="str">
        <f>INDEX(Regression_Outputs!$A$3:$A$22,MATCH(Active_Portfolio!$A35,Active_Portfolio!$K$3:$K$22,0))</f>
        <v>JSW Energy Ltd.</v>
      </c>
      <c r="B30" s="60">
        <f t="shared" si="2"/>
        <v>1.9544738366479908E-2</v>
      </c>
      <c r="C30" s="59">
        <f t="shared" si="2"/>
        <v>1.3532675227839333</v>
      </c>
      <c r="D30" s="16">
        <f t="shared" si="2"/>
        <v>6.1324882695850532E-3</v>
      </c>
      <c r="E30" s="71">
        <f t="shared" si="3"/>
        <v>3.1870812478215105E-2</v>
      </c>
      <c r="F30" s="17">
        <f t="shared" si="4"/>
        <v>9.6782294804177767E-3</v>
      </c>
      <c r="G30" s="86">
        <f t="shared" si="5"/>
        <v>1.3097233633899398E-2</v>
      </c>
    </row>
    <row r="31" spans="1:7" x14ac:dyDescent="0.45">
      <c r="A31" s="22" t="str">
        <f>INDEX(Regression_Outputs!$A$3:$A$22,MATCH(Active_Portfolio!$A36,Active_Portfolio!$K$3:$K$22,0))</f>
        <v>Tata Motors Ltd.</v>
      </c>
      <c r="B31" s="60">
        <f t="shared" si="2"/>
        <v>2.5839495810671798E-2</v>
      </c>
      <c r="C31" s="59">
        <f t="shared" si="2"/>
        <v>1.3396895497187273</v>
      </c>
      <c r="D31" s="16">
        <f t="shared" si="2"/>
        <v>3.9635217181945839E-3</v>
      </c>
      <c r="E31" s="71">
        <f t="shared" si="3"/>
        <v>6.5193274183550823E-2</v>
      </c>
      <c r="F31" s="17">
        <f t="shared" si="4"/>
        <v>1.9797282185996436E-2</v>
      </c>
      <c r="G31" s="86">
        <f t="shared" si="5"/>
        <v>2.6522212057412148E-2</v>
      </c>
    </row>
    <row r="32" spans="1:7" x14ac:dyDescent="0.45">
      <c r="A32" s="22" t="str">
        <f>INDEX(Regression_Outputs!$A$3:$A$22,MATCH(Active_Portfolio!$A37,Active_Portfolio!$K$3:$K$22,0))</f>
        <v>HCL Technologies Ltd.</v>
      </c>
      <c r="B32" s="60">
        <f t="shared" si="2"/>
        <v>2.8649171383756111E-3</v>
      </c>
      <c r="C32" s="59">
        <f t="shared" si="2"/>
        <v>0.87031879478842478</v>
      </c>
      <c r="D32" s="16">
        <f t="shared" si="2"/>
        <v>3.277714475043496E-3</v>
      </c>
      <c r="E32" s="71">
        <f t="shared" si="3"/>
        <v>8.7405939723825196E-3</v>
      </c>
      <c r="F32" s="17">
        <f t="shared" si="4"/>
        <v>2.6542616168852692E-3</v>
      </c>
      <c r="G32" s="86">
        <f t="shared" si="5"/>
        <v>2.3100537714607632E-3</v>
      </c>
    </row>
    <row r="33" spans="1:7" x14ac:dyDescent="0.45">
      <c r="A33" s="22" t="str">
        <f>INDEX(Regression_Outputs!$A$3:$A$22,MATCH(Active_Portfolio!$A38,Active_Portfolio!$K$3:$K$22,0))</f>
        <v>Emami Ltd.</v>
      </c>
      <c r="B33" s="60">
        <f t="shared" si="2"/>
        <v>0.15265164392515718</v>
      </c>
      <c r="C33" s="59">
        <f t="shared" si="2"/>
        <v>1.1477083534654382</v>
      </c>
      <c r="D33" s="16">
        <f t="shared" si="2"/>
        <v>2.9991221527429853E-3</v>
      </c>
      <c r="E33" s="71">
        <f t="shared" si="3"/>
        <v>0.50898775091752291</v>
      </c>
      <c r="F33" s="17">
        <f t="shared" si="4"/>
        <v>0.15456462741477597</v>
      </c>
      <c r="G33" s="86">
        <f t="shared" si="5"/>
        <v>0.17739511403421146</v>
      </c>
    </row>
    <row r="34" spans="1:7" x14ac:dyDescent="0.45">
      <c r="A34" s="22" t="str">
        <f>INDEX(Regression_Outputs!$A$3:$A$22,MATCH(Active_Portfolio!$A39,Active_Portfolio!$K$3:$K$22,0))</f>
        <v>Oracle Financial Services Software Ltd.</v>
      </c>
      <c r="B34" s="60">
        <f t="shared" si="2"/>
        <v>4.6246753246748096E-4</v>
      </c>
      <c r="C34" s="59">
        <f t="shared" si="2"/>
        <v>1.2818554004441962</v>
      </c>
      <c r="D34" s="16">
        <f t="shared" si="2"/>
        <v>1.0538625466474005E-2</v>
      </c>
      <c r="E34" s="71">
        <f t="shared" si="3"/>
        <v>4.3883097842190662E-4</v>
      </c>
      <c r="F34" s="17">
        <f t="shared" si="4"/>
        <v>1.3326007660415093E-4</v>
      </c>
      <c r="G34" s="86">
        <f t="shared" si="5"/>
        <v>1.7082014885863814E-4</v>
      </c>
    </row>
    <row r="35" spans="1:7" x14ac:dyDescent="0.45">
      <c r="A35" s="22" t="str">
        <f>INDEX(Regression_Outputs!$A$3:$A$22,MATCH(Active_Portfolio!$A40,Active_Portfolio!$K$3:$K$22,0))</f>
        <v>United Spirits Ltd.</v>
      </c>
      <c r="B35" s="60">
        <f t="shared" si="2"/>
        <v>9.4664789081885803E-2</v>
      </c>
      <c r="C35" s="59">
        <f t="shared" si="2"/>
        <v>1.3765278164394315</v>
      </c>
      <c r="D35" s="16">
        <f t="shared" si="2"/>
        <v>4.1904130094687873E-3</v>
      </c>
      <c r="E35" s="71">
        <f t="shared" si="3"/>
        <v>0.22590801638878627</v>
      </c>
      <c r="F35" s="17">
        <f t="shared" si="4"/>
        <v>6.8601628074939511E-2</v>
      </c>
      <c r="G35" s="86">
        <f t="shared" si="5"/>
        <v>9.443204929818648E-2</v>
      </c>
    </row>
    <row r="36" spans="1:7" x14ac:dyDescent="0.45">
      <c r="A36" s="22" t="str">
        <f>INDEX(Regression_Outputs!$A$3:$A$22,MATCH(Active_Portfolio!$A41,Active_Portfolio!$K$3:$K$22,0))</f>
        <v>Sunteck Realty Ltd.</v>
      </c>
      <c r="B36" s="60">
        <f t="shared" si="2"/>
        <v>0.45785382541720177</v>
      </c>
      <c r="C36" s="59">
        <f t="shared" si="2"/>
        <v>1.8636314904103868</v>
      </c>
      <c r="D36" s="16">
        <f t="shared" si="2"/>
        <v>2.5160019776460096E-3</v>
      </c>
      <c r="E36" s="71">
        <f t="shared" si="3"/>
        <v>1.8197673510796413</v>
      </c>
      <c r="F36" s="17">
        <f t="shared" si="4"/>
        <v>0.55260988519697452</v>
      </c>
      <c r="G36" s="86">
        <f t="shared" si="5"/>
        <v>1.0298611839651504</v>
      </c>
    </row>
    <row r="37" spans="1:7" ht="14.35" thickBot="1" x14ac:dyDescent="0.5">
      <c r="A37" s="78" t="str">
        <f>INDEX(Regression_Outputs!$A$3:$A$22,MATCH(Active_Portfolio!$A42,Active_Portfolio!$K$3:$K$22,0))</f>
        <v>Gujarat Gas Ltd.</v>
      </c>
      <c r="B37" s="79">
        <f t="shared" si="2"/>
        <v>0.1085415565328085</v>
      </c>
      <c r="C37" s="80">
        <f t="shared" si="2"/>
        <v>2.4189474638996296</v>
      </c>
      <c r="D37" s="81">
        <f t="shared" si="2"/>
        <v>2.0791724852174797E-3</v>
      </c>
      <c r="E37" s="82">
        <f t="shared" si="3"/>
        <v>0.52204209753889241</v>
      </c>
      <c r="F37" s="84">
        <f t="shared" si="4"/>
        <v>0.15852884898599859</v>
      </c>
      <c r="G37" s="87">
        <f t="shared" si="5"/>
        <v>0.38347295720960867</v>
      </c>
    </row>
    <row r="38" spans="1:7" ht="14.7" thickBot="1" x14ac:dyDescent="0.55000000000000004">
      <c r="A38" s="57" t="s">
        <v>247</v>
      </c>
      <c r="B38" s="88"/>
      <c r="C38" s="88"/>
      <c r="D38" s="88"/>
      <c r="E38" s="91">
        <f>SUM(E28:E37)</f>
        <v>3.2930416190998755</v>
      </c>
      <c r="F38" s="89"/>
      <c r="G38" s="90">
        <f>SUM(G28:G37)</f>
        <v>1.7458276164963644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Page</vt:lpstr>
      <vt:lpstr>Passive_Portfolio</vt:lpstr>
      <vt:lpstr>Active_Portfolio</vt:lpstr>
      <vt:lpstr>Information Ratio &amp; Allocation</vt:lpstr>
      <vt:lpstr>Final_Portfolio</vt:lpstr>
      <vt:lpstr>NSE Data</vt:lpstr>
      <vt:lpstr>Regression_Outputs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Devansh Wadhwani</cp:lastModifiedBy>
  <dcterms:created xsi:type="dcterms:W3CDTF">2025-08-23T02:00:09Z</dcterms:created>
  <dcterms:modified xsi:type="dcterms:W3CDTF">2025-09-05T07:24:21Z</dcterms:modified>
</cp:coreProperties>
</file>