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6.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0.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d.docs.live.net/309cbd7fb6392cad/Desktop/"/>
    </mc:Choice>
  </mc:AlternateContent>
  <xr:revisionPtr revIDLastSave="1185" documentId="13_ncr:1_{A27DCAE6-E78F-4C45-AE56-15E7A5721A1D}" xr6:coauthVersionLast="47" xr6:coauthVersionMax="47" xr10:uidLastSave="{FCA06E5A-C3A9-4935-827F-42B42D1B7AF1}"/>
  <bookViews>
    <workbookView xWindow="-93" yWindow="-93" windowWidth="25786" windowHeight="15466" firstSheet="4" activeTab="8" xr2:uid="{DA78E020-C176-4908-8FDC-3AA6E327C306}"/>
  </bookViews>
  <sheets>
    <sheet name="Cover Page" sheetId="8" r:id="rId1"/>
    <sheet name="Output" sheetId="7" r:id="rId2"/>
    <sheet name="Scenario Drivers" sheetId="2" r:id="rId3"/>
    <sheet name="Assumptions" sheetId="11" r:id="rId4"/>
    <sheet name="WACC" sheetId="3" r:id="rId5"/>
    <sheet name="DCF Model" sheetId="1" r:id="rId6"/>
    <sheet name="Comparable Company Analysis" sheetId="4" r:id="rId7"/>
    <sheet name="Precedent Transaction Analysis" sheetId="5" r:id="rId8"/>
    <sheet name="Valuation Football Field" sheetId="6" r:id="rId9"/>
  </sheets>
  <definedNames>
    <definedName name="Multiple">WACC!$K$15</definedName>
    <definedName name="WACC">WACC!$E$63</definedName>
  </definedNames>
  <calcPr calcId="191029" iterate="1" iterateDelta="1000000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27" i="1" l="1"/>
  <c r="D138" i="1"/>
  <c r="B22" i="7"/>
  <c r="B23" i="7" s="1"/>
  <c r="B24" i="7" s="1"/>
  <c r="B25" i="7" s="1"/>
  <c r="F44" i="6"/>
  <c r="S13" i="5"/>
  <c r="T13" i="5" s="1"/>
  <c r="O13" i="5"/>
  <c r="Q13" i="5" s="1"/>
  <c r="M13" i="5"/>
  <c r="W13" i="5" l="1"/>
  <c r="U13" i="5"/>
  <c r="V13" i="5"/>
  <c r="D2" i="2" l="1"/>
  <c r="D8" i="2" s="1"/>
  <c r="D140" i="1"/>
  <c r="C122" i="1"/>
  <c r="L129" i="1" s="1"/>
  <c r="L10" i="7"/>
  <c r="C123" i="1" s="1"/>
  <c r="E63" i="3"/>
  <c r="D24" i="2" l="1"/>
  <c r="F24" i="2"/>
  <c r="E24" i="2"/>
  <c r="F16" i="2"/>
  <c r="F8" i="2"/>
  <c r="M9" i="1" s="1"/>
  <c r="E8" i="2"/>
  <c r="L9" i="1" s="1"/>
  <c r="L59" i="1" s="1"/>
  <c r="L12" i="7"/>
  <c r="N29" i="5"/>
  <c r="N30" i="5"/>
  <c r="N31" i="5"/>
  <c r="R11" i="5"/>
  <c r="S11" i="5" s="1"/>
  <c r="T11" i="5" s="1"/>
  <c r="O11" i="5"/>
  <c r="Q11" i="5" s="1"/>
  <c r="M11" i="5"/>
  <c r="O9" i="5"/>
  <c r="Q9" i="5" s="1"/>
  <c r="M9" i="5"/>
  <c r="N9" i="1" l="1"/>
  <c r="L11" i="1"/>
  <c r="N20" i="7"/>
  <c r="N31" i="7"/>
  <c r="E31" i="7"/>
  <c r="W11" i="5"/>
  <c r="U11" i="5"/>
  <c r="V11" i="5"/>
  <c r="U9" i="5"/>
  <c r="V9" i="5"/>
  <c r="W9" i="5"/>
  <c r="O7" i="5"/>
  <c r="Q7" i="5" s="1"/>
  <c r="V7" i="5" s="1"/>
  <c r="M7" i="5"/>
  <c r="I40" i="4"/>
  <c r="I41" i="4"/>
  <c r="I42" i="4"/>
  <c r="I43" i="4"/>
  <c r="I44" i="4"/>
  <c r="I45" i="4"/>
  <c r="J25" i="4"/>
  <c r="Y25" i="4" s="1"/>
  <c r="J7" i="4"/>
  <c r="Y7" i="4" s="1"/>
  <c r="J9" i="4"/>
  <c r="Y9" i="4" s="1"/>
  <c r="J11" i="4"/>
  <c r="M11" i="4" s="1"/>
  <c r="J13" i="4"/>
  <c r="Y13" i="4" s="1"/>
  <c r="J15" i="4"/>
  <c r="M15" i="4" s="1"/>
  <c r="J17" i="4"/>
  <c r="Z17" i="4" s="1"/>
  <c r="J19" i="4"/>
  <c r="M19" i="4" s="1"/>
  <c r="J21" i="4"/>
  <c r="AA21" i="4" s="1"/>
  <c r="J23" i="4"/>
  <c r="Y23" i="4" s="1"/>
  <c r="V19" i="5" l="1"/>
  <c r="V17" i="5"/>
  <c r="V23" i="5"/>
  <c r="V21" i="5"/>
  <c r="V30" i="5" s="1"/>
  <c r="Z13" i="4"/>
  <c r="AA11" i="4"/>
  <c r="Z11" i="4"/>
  <c r="Y11" i="4"/>
  <c r="U7" i="5"/>
  <c r="U17" i="5" s="1"/>
  <c r="W7" i="5"/>
  <c r="AA13" i="4"/>
  <c r="M21" i="4"/>
  <c r="M23" i="4"/>
  <c r="W23" i="4" s="1"/>
  <c r="M13" i="4"/>
  <c r="V13" i="4" s="1"/>
  <c r="Z21" i="4"/>
  <c r="Y17" i="4"/>
  <c r="AA15" i="4"/>
  <c r="Z15" i="4"/>
  <c r="Y15" i="4"/>
  <c r="M25" i="4"/>
  <c r="V25" i="4" s="1"/>
  <c r="M9" i="4"/>
  <c r="X9" i="4" s="1"/>
  <c r="M7" i="4"/>
  <c r="W7" i="4" s="1"/>
  <c r="AA25" i="4"/>
  <c r="Z25" i="4"/>
  <c r="AA7" i="4"/>
  <c r="Y21" i="4"/>
  <c r="Z7" i="4"/>
  <c r="AA19" i="4"/>
  <c r="Z19" i="4"/>
  <c r="Y19" i="4"/>
  <c r="AA17" i="4"/>
  <c r="M17" i="4"/>
  <c r="V17" i="4" s="1"/>
  <c r="AA23" i="4"/>
  <c r="Z23" i="4"/>
  <c r="AA9" i="4"/>
  <c r="Z9" i="4"/>
  <c r="V23" i="4"/>
  <c r="V21" i="4"/>
  <c r="W21" i="4"/>
  <c r="X21" i="4"/>
  <c r="X19" i="4"/>
  <c r="W19" i="4"/>
  <c r="V19" i="4"/>
  <c r="V15" i="4"/>
  <c r="W15" i="4"/>
  <c r="X15" i="4"/>
  <c r="V11" i="4"/>
  <c r="W11" i="4"/>
  <c r="X11" i="4"/>
  <c r="W23" i="5" l="1"/>
  <c r="W21" i="5"/>
  <c r="W19" i="5"/>
  <c r="W17" i="5"/>
  <c r="U23" i="5"/>
  <c r="U21" i="5"/>
  <c r="U29" i="5" s="1"/>
  <c r="U19" i="5"/>
  <c r="Y30" i="4"/>
  <c r="Y43" i="4" s="1"/>
  <c r="W13" i="4"/>
  <c r="X13" i="4"/>
  <c r="X7" i="4"/>
  <c r="V9" i="4"/>
  <c r="X23" i="4"/>
  <c r="X17" i="4"/>
  <c r="Z30" i="4"/>
  <c r="Z44" i="4" s="1"/>
  <c r="Z28" i="4"/>
  <c r="Z32" i="4"/>
  <c r="Z34" i="4"/>
  <c r="AA30" i="4"/>
  <c r="AA45" i="4" s="1"/>
  <c r="AA34" i="4"/>
  <c r="AA32" i="4"/>
  <c r="AA28" i="4"/>
  <c r="V7" i="4"/>
  <c r="W17" i="4"/>
  <c r="X25" i="4"/>
  <c r="Y28" i="4"/>
  <c r="W25" i="4"/>
  <c r="Y32" i="4"/>
  <c r="W9" i="4"/>
  <c r="Y34" i="4"/>
  <c r="W31" i="5" l="1"/>
  <c r="X34" i="4"/>
  <c r="X30" i="4"/>
  <c r="X42" i="4" s="1"/>
  <c r="X32" i="4"/>
  <c r="X28" i="4"/>
  <c r="W28" i="4"/>
  <c r="W32" i="4"/>
  <c r="W30" i="4"/>
  <c r="W41" i="4" s="1"/>
  <c r="W34" i="4"/>
  <c r="V30" i="4"/>
  <c r="V40" i="4" s="1"/>
  <c r="V34" i="4"/>
  <c r="V32" i="4"/>
  <c r="V28" i="4"/>
  <c r="I131" i="1" l="1"/>
  <c r="I37" i="3"/>
  <c r="C55" i="3" s="1"/>
  <c r="I39" i="3"/>
  <c r="C57" i="3" s="1"/>
  <c r="I35" i="3"/>
  <c r="C59" i="3" s="1"/>
  <c r="C46" i="3"/>
  <c r="D35" i="3"/>
  <c r="C48" i="3" s="1"/>
  <c r="I7" i="3"/>
  <c r="I9" i="3"/>
  <c r="I11" i="3"/>
  <c r="I13" i="3"/>
  <c r="F16" i="3"/>
  <c r="G16" i="3"/>
  <c r="H16" i="3"/>
  <c r="F15" i="3"/>
  <c r="I22" i="3" s="1"/>
  <c r="I24" i="3" s="1"/>
  <c r="I26" i="3" s="1"/>
  <c r="G48" i="3" s="1"/>
  <c r="G15" i="3"/>
  <c r="H15" i="3"/>
  <c r="L11" i="7" l="1"/>
  <c r="G59" i="3"/>
  <c r="P29" i="5"/>
  <c r="P30" i="5"/>
  <c r="P31" i="5"/>
  <c r="L40" i="4"/>
  <c r="J40" i="4" s="1"/>
  <c r="L41" i="4"/>
  <c r="L42" i="4"/>
  <c r="L43" i="4"/>
  <c r="L44" i="4"/>
  <c r="L45" i="4"/>
  <c r="C61" i="3"/>
  <c r="E57" i="3" s="1"/>
  <c r="I41" i="3"/>
  <c r="D22" i="3"/>
  <c r="D39" i="3"/>
  <c r="C50" i="3"/>
  <c r="E48" i="3" s="1"/>
  <c r="I48" i="3" s="1"/>
  <c r="I16" i="3"/>
  <c r="I15" i="3"/>
  <c r="D20" i="3" s="1"/>
  <c r="D26" i="3" s="1"/>
  <c r="D32" i="3" s="1"/>
  <c r="G55" i="3" s="1"/>
  <c r="E11" i="7" l="1"/>
  <c r="G11" i="7" s="1"/>
  <c r="E12" i="7"/>
  <c r="G12" i="7" s="1"/>
  <c r="E13" i="7"/>
  <c r="G13" i="7" s="1"/>
  <c r="D32" i="7"/>
  <c r="M21" i="7" s="1"/>
  <c r="M32" i="7" s="1"/>
  <c r="D36" i="7"/>
  <c r="M25" i="7" s="1"/>
  <c r="M36" i="7" s="1"/>
  <c r="E36" i="7"/>
  <c r="N25" i="7" s="1"/>
  <c r="N36" i="7" s="1"/>
  <c r="F32" i="7"/>
  <c r="O21" i="7" s="1"/>
  <c r="O32" i="7" s="1"/>
  <c r="F36" i="7"/>
  <c r="O25" i="7" s="1"/>
  <c r="O36" i="7" s="1"/>
  <c r="G32" i="7"/>
  <c r="P21" i="7" s="1"/>
  <c r="P32" i="7" s="1"/>
  <c r="G36" i="7"/>
  <c r="P25" i="7" s="1"/>
  <c r="P36" i="7" s="1"/>
  <c r="C33" i="7"/>
  <c r="L22" i="7" s="1"/>
  <c r="L33" i="7" s="1"/>
  <c r="D33" i="7"/>
  <c r="M22" i="7" s="1"/>
  <c r="M33" i="7" s="1"/>
  <c r="E33" i="7"/>
  <c r="N22" i="7" s="1"/>
  <c r="N33" i="7" s="1"/>
  <c r="F33" i="7"/>
  <c r="O22" i="7" s="1"/>
  <c r="O33" i="7" s="1"/>
  <c r="G33" i="7"/>
  <c r="P22" i="7" s="1"/>
  <c r="P33" i="7" s="1"/>
  <c r="C34" i="7"/>
  <c r="L23" i="7" s="1"/>
  <c r="L34" i="7" s="1"/>
  <c r="D34" i="7"/>
  <c r="M23" i="7" s="1"/>
  <c r="M34" i="7" s="1"/>
  <c r="G34" i="7"/>
  <c r="P23" i="7" s="1"/>
  <c r="P34" i="7" s="1"/>
  <c r="E35" i="7"/>
  <c r="N24" i="7" s="1"/>
  <c r="N35" i="7" s="1"/>
  <c r="F35" i="7"/>
  <c r="O24" i="7" s="1"/>
  <c r="O35" i="7" s="1"/>
  <c r="G35" i="7"/>
  <c r="P24" i="7" s="1"/>
  <c r="P35" i="7" s="1"/>
  <c r="C32" i="7"/>
  <c r="L21" i="7" s="1"/>
  <c r="E32" i="7"/>
  <c r="N21" i="7" s="1"/>
  <c r="N32" i="7" s="1"/>
  <c r="E34" i="7"/>
  <c r="N23" i="7" s="1"/>
  <c r="N34" i="7" s="1"/>
  <c r="F34" i="7"/>
  <c r="O23" i="7" s="1"/>
  <c r="O34" i="7" s="1"/>
  <c r="C35" i="7"/>
  <c r="L24" i="7" s="1"/>
  <c r="L35" i="7" s="1"/>
  <c r="D35" i="7"/>
  <c r="M24" i="7" s="1"/>
  <c r="M35" i="7" s="1"/>
  <c r="C36" i="7"/>
  <c r="L25" i="7" s="1"/>
  <c r="L36" i="7" s="1"/>
  <c r="E55" i="3"/>
  <c r="I55" i="3" s="1"/>
  <c r="E59" i="3"/>
  <c r="I59" i="3" s="1"/>
  <c r="I32" i="3"/>
  <c r="G57" i="3" s="1"/>
  <c r="I57" i="3" s="1"/>
  <c r="G46" i="3"/>
  <c r="E46" i="3"/>
  <c r="G43" i="6" l="1"/>
  <c r="E43" i="6"/>
  <c r="L32" i="7"/>
  <c r="E61" i="3"/>
  <c r="I61" i="3"/>
  <c r="E50" i="3"/>
  <c r="I46" i="3"/>
  <c r="I50" i="3" s="1"/>
  <c r="F43" i="6" l="1"/>
  <c r="K34" i="7"/>
  <c r="B34" i="7"/>
  <c r="K23" i="7"/>
  <c r="M47" i="1"/>
  <c r="M50" i="1"/>
  <c r="L63" i="1"/>
  <c r="L49" i="1"/>
  <c r="M49" i="1" s="1"/>
  <c r="L62" i="1" l="1"/>
  <c r="M62" i="1" s="1"/>
  <c r="L60" i="1"/>
  <c r="L92" i="1"/>
  <c r="M92" i="1"/>
  <c r="L83" i="1"/>
  <c r="M83" i="1"/>
  <c r="L84" i="1"/>
  <c r="M84" i="1"/>
  <c r="L81" i="1"/>
  <c r="M81" i="1"/>
  <c r="L56" i="1"/>
  <c r="M56" i="1"/>
  <c r="L57" i="1"/>
  <c r="M57" i="1"/>
  <c r="L58" i="1"/>
  <c r="M58" i="1"/>
  <c r="L47" i="1"/>
  <c r="L50" i="1"/>
  <c r="L51" i="1"/>
  <c r="M51" i="1"/>
  <c r="L52" i="1"/>
  <c r="M52" i="1"/>
  <c r="M60" i="1"/>
  <c r="L61" i="1"/>
  <c r="M61" i="1"/>
  <c r="L64" i="1"/>
  <c r="M64" i="1"/>
  <c r="M74" i="1"/>
  <c r="M75" i="1"/>
  <c r="M76" i="1"/>
  <c r="M77" i="1"/>
  <c r="L74" i="1"/>
  <c r="L75" i="1"/>
  <c r="L76" i="1"/>
  <c r="L77" i="1"/>
  <c r="G94" i="1"/>
  <c r="L73" i="1"/>
  <c r="L82" i="1" s="1"/>
  <c r="M63" i="1"/>
  <c r="G78" i="1"/>
  <c r="H65" i="1"/>
  <c r="G65" i="1"/>
  <c r="I65" i="1"/>
  <c r="J65" i="1"/>
  <c r="K65" i="1"/>
  <c r="G85" i="1"/>
  <c r="H85" i="1"/>
  <c r="I85" i="1"/>
  <c r="J85" i="1"/>
  <c r="K85" i="1"/>
  <c r="I78" i="1"/>
  <c r="J78" i="1"/>
  <c r="H94" i="1"/>
  <c r="I94" i="1"/>
  <c r="J94" i="1"/>
  <c r="K94" i="1"/>
  <c r="H78" i="1"/>
  <c r="K78" i="1"/>
  <c r="G53" i="1"/>
  <c r="H53" i="1"/>
  <c r="I53" i="1"/>
  <c r="J53" i="1"/>
  <c r="K53" i="1"/>
  <c r="G89" i="1" l="1"/>
  <c r="G96" i="1" s="1"/>
  <c r="G87" i="1"/>
  <c r="K87" i="1"/>
  <c r="J87" i="1"/>
  <c r="I87" i="1"/>
  <c r="H87" i="1"/>
  <c r="G113" i="1"/>
  <c r="M59" i="1"/>
  <c r="M65" i="1" s="1"/>
  <c r="L85" i="1"/>
  <c r="M73" i="1"/>
  <c r="M82" i="1" s="1"/>
  <c r="M85" i="1" s="1"/>
  <c r="L78" i="1"/>
  <c r="L65" i="1"/>
  <c r="G67" i="1"/>
  <c r="I89" i="1"/>
  <c r="I96" i="1" s="1"/>
  <c r="H89" i="1"/>
  <c r="H96" i="1" s="1"/>
  <c r="H67" i="1"/>
  <c r="I67" i="1"/>
  <c r="K89" i="1"/>
  <c r="K96" i="1" s="1"/>
  <c r="J89" i="1"/>
  <c r="J96" i="1" s="1"/>
  <c r="K67" i="1"/>
  <c r="J67" i="1"/>
  <c r="M78" i="1" l="1"/>
  <c r="M89" i="1" s="1"/>
  <c r="H113" i="1"/>
  <c r="I113" i="1" s="1"/>
  <c r="L89" i="1"/>
  <c r="L29" i="1"/>
  <c r="K13" i="1"/>
  <c r="L13" i="1"/>
  <c r="G19" i="1"/>
  <c r="H19" i="1"/>
  <c r="G13" i="1"/>
  <c r="G17" i="1" s="1"/>
  <c r="H13" i="1"/>
  <c r="H17" i="1" s="1"/>
  <c r="I13" i="1"/>
  <c r="I17" i="1" s="1"/>
  <c r="I19" i="1"/>
  <c r="J25" i="1"/>
  <c r="L25" i="1" s="1"/>
  <c r="G107" i="1" s="1"/>
  <c r="J23" i="1"/>
  <c r="L23" i="1" s="1"/>
  <c r="M23" i="1" s="1"/>
  <c r="J19" i="1"/>
  <c r="J15" i="1"/>
  <c r="L15" i="1" s="1"/>
  <c r="J13" i="1"/>
  <c r="J17" i="1" s="1"/>
  <c r="J21" i="1" l="1"/>
  <c r="J27" i="1" s="1"/>
  <c r="J31" i="1" s="1"/>
  <c r="J35" i="1" s="1"/>
  <c r="M29" i="1"/>
  <c r="H109" i="1" s="1"/>
  <c r="G109" i="1"/>
  <c r="M25" i="1"/>
  <c r="L17" i="1"/>
  <c r="M11" i="1"/>
  <c r="M13" i="1" s="1"/>
  <c r="N23" i="1"/>
  <c r="M15" i="1"/>
  <c r="N15" i="1" s="1"/>
  <c r="I21" i="1"/>
  <c r="I27" i="1" s="1"/>
  <c r="I31" i="1" s="1"/>
  <c r="I35" i="1" s="1"/>
  <c r="G21" i="1"/>
  <c r="G27" i="1" s="1"/>
  <c r="G31" i="1" s="1"/>
  <c r="G35" i="1" s="1"/>
  <c r="H21" i="1"/>
  <c r="H27" i="1" s="1"/>
  <c r="H31" i="1" s="1"/>
  <c r="H35" i="1" s="1"/>
  <c r="N29" i="1" l="1"/>
  <c r="I109" i="1" s="1"/>
  <c r="N25" i="1"/>
  <c r="I107" i="1" s="1"/>
  <c r="H107" i="1"/>
  <c r="N11" i="1"/>
  <c r="N13" i="1" s="1"/>
  <c r="N17" i="1" s="1"/>
  <c r="M17" i="1"/>
  <c r="K19" i="1" l="1"/>
  <c r="L19" i="1" s="1"/>
  <c r="L21" i="1" l="1"/>
  <c r="K17" i="1"/>
  <c r="K21" i="1" s="1"/>
  <c r="K27" i="1" l="1"/>
  <c r="K31" i="1" s="1"/>
  <c r="K35" i="1" s="1"/>
  <c r="R43" i="4" s="1"/>
  <c r="J43" i="4" s="1"/>
  <c r="R29" i="5"/>
  <c r="Q29" i="5" s="1"/>
  <c r="O29" i="5" s="1"/>
  <c r="L29" i="5" s="1"/>
  <c r="O40" i="4"/>
  <c r="M40" i="4" s="1"/>
  <c r="H40" i="4" s="1"/>
  <c r="L27" i="1"/>
  <c r="L31" i="1" s="1"/>
  <c r="S30" i="5"/>
  <c r="Q30" i="5" s="1"/>
  <c r="O30" i="5" s="1"/>
  <c r="L30" i="5" s="1"/>
  <c r="P41" i="4"/>
  <c r="M41" i="4" s="1"/>
  <c r="J41" i="4" s="1"/>
  <c r="H41" i="4" s="1"/>
  <c r="M19" i="1"/>
  <c r="L33" i="1" l="1"/>
  <c r="L35" i="1" s="1"/>
  <c r="H43" i="4"/>
  <c r="M43" i="4"/>
  <c r="M21" i="1"/>
  <c r="N19" i="1"/>
  <c r="N21" i="1" s="1"/>
  <c r="S44" i="4" l="1"/>
  <c r="J44" i="4" s="1"/>
  <c r="L93" i="1"/>
  <c r="L94" i="1" s="1"/>
  <c r="L96" i="1" s="1"/>
  <c r="G105" i="1"/>
  <c r="N27" i="1"/>
  <c r="N31" i="1" s="1"/>
  <c r="N33" i="1" s="1"/>
  <c r="N35" i="1" s="1"/>
  <c r="I105" i="1" s="1"/>
  <c r="M27" i="1"/>
  <c r="M31" i="1" s="1"/>
  <c r="T31" i="5"/>
  <c r="Q31" i="5" s="1"/>
  <c r="O31" i="5" s="1"/>
  <c r="L31" i="5" s="1"/>
  <c r="Q42" i="4"/>
  <c r="M42" i="4" s="1"/>
  <c r="J42" i="4" s="1"/>
  <c r="H42" i="4" s="1"/>
  <c r="E42" i="6" l="1"/>
  <c r="G42" i="6"/>
  <c r="M33" i="1"/>
  <c r="M35" i="1" s="1"/>
  <c r="M44" i="4"/>
  <c r="H44" i="4"/>
  <c r="F42" i="6" l="1"/>
  <c r="T45" i="4"/>
  <c r="J45" i="4" s="1"/>
  <c r="H105" i="1"/>
  <c r="M93" i="1"/>
  <c r="M94" i="1" s="1"/>
  <c r="M96" i="1" s="1"/>
  <c r="H45" i="4" l="1"/>
  <c r="M45" i="4"/>
  <c r="G41" i="6" l="1"/>
  <c r="E41" i="6"/>
  <c r="E46" i="6" l="1"/>
  <c r="F41" i="6"/>
  <c r="D20" i="7" l="1"/>
  <c r="E20" i="7" s="1"/>
  <c r="F20" i="7" s="1"/>
  <c r="G20" i="7" s="1"/>
  <c r="L53" i="1" l="1"/>
  <c r="L67" i="1" s="1"/>
  <c r="L87" i="1" l="1"/>
  <c r="G111" i="1" l="1"/>
  <c r="G115" i="1" s="1"/>
  <c r="J127" i="1" s="1"/>
  <c r="J131" i="1" s="1"/>
  <c r="M53" i="1"/>
  <c r="M67" i="1" s="1"/>
  <c r="M87" i="1"/>
  <c r="H111" i="1" s="1"/>
  <c r="H115" i="1" l="1"/>
  <c r="K127" i="1" s="1"/>
  <c r="K131" i="1" s="1"/>
  <c r="I111" i="1"/>
  <c r="I115" i="1" s="1"/>
  <c r="L127" i="1" s="1"/>
  <c r="L131" i="1" l="1"/>
  <c r="D133" i="1" s="1"/>
  <c r="D136" i="1" s="1"/>
  <c r="D142" i="1" l="1"/>
  <c r="D145" i="1" s="1"/>
  <c r="D149" i="1" s="1"/>
  <c r="D154" i="1" s="1"/>
  <c r="B20" i="7"/>
  <c r="C15" i="7"/>
  <c r="E15" i="7" s="1"/>
  <c r="G15" i="7" s="1"/>
  <c r="K30" i="5" l="1"/>
  <c r="M30" i="5" s="1"/>
  <c r="K31" i="5"/>
  <c r="M31" i="5" s="1"/>
  <c r="K29" i="5"/>
  <c r="M29" i="5" s="1"/>
  <c r="D158" i="1"/>
  <c r="D156" i="1"/>
</calcChain>
</file>

<file path=xl/sharedStrings.xml><?xml version="1.0" encoding="utf-8"?>
<sst xmlns="http://schemas.openxmlformats.org/spreadsheetml/2006/main" count="614" uniqueCount="302">
  <si>
    <t>EBITDA</t>
  </si>
  <si>
    <t>EBIT</t>
  </si>
  <si>
    <t>(-) Interest Expense</t>
  </si>
  <si>
    <t>(-) Operating Expenses</t>
  </si>
  <si>
    <t>Gross Profit</t>
  </si>
  <si>
    <t>EBT</t>
  </si>
  <si>
    <t>(-) Tax Expense</t>
  </si>
  <si>
    <t>2022A</t>
  </si>
  <si>
    <t>2023A</t>
  </si>
  <si>
    <t>2021A</t>
  </si>
  <si>
    <t>2024A</t>
  </si>
  <si>
    <t>2025A</t>
  </si>
  <si>
    <t>2026E</t>
  </si>
  <si>
    <t>2027E</t>
  </si>
  <si>
    <t>Terminal</t>
  </si>
  <si>
    <t>(+) Other Income</t>
  </si>
  <si>
    <t>Total Income</t>
  </si>
  <si>
    <t>Net Income</t>
  </si>
  <si>
    <t>(-) Non-Operating Expenses</t>
  </si>
  <si>
    <t>(-) Depreciation, amortization and impairment</t>
  </si>
  <si>
    <t>Operating Expenses</t>
  </si>
  <si>
    <t>Impairment on financial instruments</t>
  </si>
  <si>
    <t>Employee benefit expenses</t>
  </si>
  <si>
    <t>COGS</t>
  </si>
  <si>
    <t>Fees and Commission Expenses</t>
  </si>
  <si>
    <t>Revenue from Operations (RFO)</t>
  </si>
  <si>
    <t>(-) Cost of Goods Sold (COGS)</t>
  </si>
  <si>
    <t>Terminal Revenue</t>
  </si>
  <si>
    <t>2026E and 2027E</t>
  </si>
  <si>
    <t>Average Analyst Estimates from Yahoo Finance</t>
  </si>
  <si>
    <t>Other Items</t>
  </si>
  <si>
    <t>Assumed dependent on RFO; forecasted using historical 5 year data</t>
  </si>
  <si>
    <t>Tax Expense</t>
  </si>
  <si>
    <t>An Average of 25% based on Historical Data</t>
  </si>
  <si>
    <t>Interest Expense</t>
  </si>
  <si>
    <t>Considered Constant</t>
  </si>
  <si>
    <t>Dep,Amort and Imp</t>
  </si>
  <si>
    <t>Income Statement</t>
  </si>
  <si>
    <t>All figures are in INR million 
unless mentioned otherwise</t>
  </si>
  <si>
    <t>2027E*(1+0.25)- Industry Median CAGR 25%</t>
  </si>
  <si>
    <t>Balance Sheet</t>
  </si>
  <si>
    <t>Particulars</t>
  </si>
  <si>
    <t>ASSETS</t>
  </si>
  <si>
    <t>(a) Cash and Cash Equivalents</t>
  </si>
  <si>
    <t>(b) Bank Balance other than Cash and Cash Equivalents</t>
  </si>
  <si>
    <t>(c) Trade Receivables</t>
  </si>
  <si>
    <t>(d) Loans</t>
  </si>
  <si>
    <t>(e) Investments</t>
  </si>
  <si>
    <t>Current Assets</t>
  </si>
  <si>
    <t>(f) Other Financial Assets</t>
  </si>
  <si>
    <t>Total Current Assets (I)</t>
  </si>
  <si>
    <t>Non-Current Assets</t>
  </si>
  <si>
    <t>Total Non-Current Assets (II)</t>
  </si>
  <si>
    <t>Total Assets [(I) + (II)]</t>
  </si>
  <si>
    <t>EQUITY AND LIABILITIES</t>
  </si>
  <si>
    <t>Current Liabilities</t>
  </si>
  <si>
    <t>(a) Trade Payables</t>
  </si>
  <si>
    <t>(b) Debt Securities</t>
  </si>
  <si>
    <t>(c) Borrowings (other than Debt Securities)</t>
  </si>
  <si>
    <t>(d) Lease Liabilities</t>
  </si>
  <si>
    <t>(e) Other Financial Liabilities</t>
  </si>
  <si>
    <t>Total Current Liabilities (III)</t>
  </si>
  <si>
    <t>LIABILITIES</t>
  </si>
  <si>
    <t>Non-Current Liabilities</t>
  </si>
  <si>
    <t>Total Non-Current Liabilities (IV)</t>
  </si>
  <si>
    <t>Total Liabilities [(V) = (III) + (IV)]</t>
  </si>
  <si>
    <t>EQUITY</t>
  </si>
  <si>
    <t>(a) Equity Share Capital</t>
  </si>
  <si>
    <t>(b) Other Equity</t>
  </si>
  <si>
    <t>Total Equity (VI)</t>
  </si>
  <si>
    <t>Total Equity and Liabilities [(V) + (VI)]</t>
  </si>
  <si>
    <t>(a) Current Tax Liabilities (Net)</t>
  </si>
  <si>
    <t>(b) Provisions</t>
  </si>
  <si>
    <t>(c) Deferred tax liabilities (net)</t>
  </si>
  <si>
    <t>(d) Other Non-Financial Liabilities</t>
  </si>
  <si>
    <t>(a) Deferred Tax Assets (Net)</t>
  </si>
  <si>
    <t>(b) Current Tax Assets (Net)</t>
  </si>
  <si>
    <t>(c) Investment Property</t>
  </si>
  <si>
    <t>(d) Property, Plant and Equipment</t>
  </si>
  <si>
    <t>(e) Right-of-use Assets</t>
  </si>
  <si>
    <t>(f) Capital Work-in-Progress</t>
  </si>
  <si>
    <t>(g) Intangible Assets under Development</t>
  </si>
  <si>
    <t>(h) Intangible Assets</t>
  </si>
  <si>
    <t>(i) Other Non-Financial Assets</t>
  </si>
  <si>
    <t xml:space="preserve"> </t>
  </si>
  <si>
    <t>PPE</t>
  </si>
  <si>
    <t>Intangibles under development</t>
  </si>
  <si>
    <t>Intangibles</t>
  </si>
  <si>
    <t>Last year</t>
  </si>
  <si>
    <t>TR</t>
  </si>
  <si>
    <t>TP</t>
  </si>
  <si>
    <t>Assumed dependent on RFO; forecasted using historical 5 year data; Assumed always greater than or equal to 0</t>
  </si>
  <si>
    <t>Assumed dependent on PPE</t>
  </si>
  <si>
    <t>Assumed dependent on Trade Payables</t>
  </si>
  <si>
    <t>Provisions</t>
  </si>
  <si>
    <t>Working Capital [(I) - (III)]</t>
  </si>
  <si>
    <t>Plug-in</t>
  </si>
  <si>
    <t>Last year + NI</t>
  </si>
  <si>
    <t>Free Cash Flow to Firm (FCFF) Calculation</t>
  </si>
  <si>
    <t>Net Profit</t>
  </si>
  <si>
    <t>(+) Depreciation, amortization and impairment</t>
  </si>
  <si>
    <t>(+) Interest x (1 - Tax Rate)</t>
  </si>
  <si>
    <t>(-) Working Capital Investment</t>
  </si>
  <si>
    <t>(-) Capital Expenditure</t>
  </si>
  <si>
    <t>Free Cash Flow to Firm (FCFF)</t>
  </si>
  <si>
    <t>Working Cap Investment</t>
  </si>
  <si>
    <t>Assumed same as last year for Terminal year</t>
  </si>
  <si>
    <t>Capex</t>
  </si>
  <si>
    <t>WACC</t>
  </si>
  <si>
    <t>Fiscal Year End</t>
  </si>
  <si>
    <t>Cash Flow Timing</t>
  </si>
  <si>
    <t>Valuation</t>
  </si>
  <si>
    <t>(DD-MM-YY)</t>
  </si>
  <si>
    <t>Discrete Forecast</t>
  </si>
  <si>
    <t>Weighted Average Cost of Capital Calculation</t>
  </si>
  <si>
    <t>Name</t>
  </si>
  <si>
    <t>Motilal Oswal Financial Services Ltd</t>
  </si>
  <si>
    <t>360 ONE WAM Ltd</t>
  </si>
  <si>
    <t>Nuvama Wealth Management Ltd</t>
  </si>
  <si>
    <t>IIFL Capital Services Ltd</t>
  </si>
  <si>
    <t>Debt</t>
  </si>
  <si>
    <t>Equity</t>
  </si>
  <si>
    <t>Average Tax Rate</t>
  </si>
  <si>
    <t>Average 
Tax Rate</t>
  </si>
  <si>
    <t>Debt/Equity</t>
  </si>
  <si>
    <t>Levered Beta</t>
  </si>
  <si>
    <t>Debt/
Equity</t>
  </si>
  <si>
    <t>Levered 
Beta</t>
  </si>
  <si>
    <t>Unlevered 
Beta</t>
  </si>
  <si>
    <t>Average</t>
  </si>
  <si>
    <t>Median</t>
  </si>
  <si>
    <t>Average Unlevered Beta</t>
  </si>
  <si>
    <t>Risk-free Rate (Rf)</t>
  </si>
  <si>
    <t>Market Return (Rm)</t>
  </si>
  <si>
    <t>Cost of Equity (Ke)</t>
  </si>
  <si>
    <t>Cost of Equity (Using CAPM)</t>
  </si>
  <si>
    <t>Cost of Debt</t>
  </si>
  <si>
    <t>Pre-tax Cost</t>
  </si>
  <si>
    <t xml:space="preserve">Post-tax Cost </t>
  </si>
  <si>
    <t>Cost of Debt (Kd)</t>
  </si>
  <si>
    <t>Cost of Other Equity</t>
  </si>
  <si>
    <t>Pre-tax Cost of Debt Calculation</t>
  </si>
  <si>
    <t>Interest</t>
  </si>
  <si>
    <t>Debt Securities + Borrowings + Lease Liabilities</t>
  </si>
  <si>
    <t>10-year Govt Bond Yield is 6.30%</t>
  </si>
  <si>
    <t>Market Return prediction for 2025 is 13-16%; Conservative estimate of 13%</t>
  </si>
  <si>
    <t>Total Debt</t>
  </si>
  <si>
    <t>Market Capitalization</t>
  </si>
  <si>
    <t>Capital Employed</t>
  </si>
  <si>
    <t>Market Cap as of 31st March 2025 taken from Annual Report</t>
  </si>
  <si>
    <t>Weighted Average Cost of Capital (WACC): Market Value</t>
  </si>
  <si>
    <t>Sources of Funds</t>
  </si>
  <si>
    <t>Total</t>
  </si>
  <si>
    <t>Amount</t>
  </si>
  <si>
    <t>Weights</t>
  </si>
  <si>
    <t>Cost of Capital</t>
  </si>
  <si>
    <t>Equity Share Capital</t>
  </si>
  <si>
    <t>Other Equity</t>
  </si>
  <si>
    <t>Capital Structure: Market Value</t>
  </si>
  <si>
    <t>Capital Structure: Book Value</t>
  </si>
  <si>
    <t>Weighted Average Cost of Capital (WACC): Book Value</t>
  </si>
  <si>
    <t>Weighted Average Cost of Capital (WACC)</t>
  </si>
  <si>
    <t>WACC- Average of MV and BV</t>
  </si>
  <si>
    <t>Cash Flow</t>
  </si>
  <si>
    <t>Terminal Value</t>
  </si>
  <si>
    <t>Total Cash Flow</t>
  </si>
  <si>
    <t>Discounted Cash Flow</t>
  </si>
  <si>
    <t>Calculation of Equity Value</t>
  </si>
  <si>
    <t>Enterprise Value</t>
  </si>
  <si>
    <t>Equity Value</t>
  </si>
  <si>
    <t>Calculation of Equity Value per share</t>
  </si>
  <si>
    <t>Shares Outstanding</t>
  </si>
  <si>
    <t>Equity Value per share</t>
  </si>
  <si>
    <t>Less: Total Debt</t>
  </si>
  <si>
    <t>Add: Cash</t>
  </si>
  <si>
    <t>EBITDA Multiple</t>
  </si>
  <si>
    <t>Conservative Industry Standard- 13x</t>
  </si>
  <si>
    <t>Discounted Cash Flow Schedule: Multiple Method</t>
  </si>
  <si>
    <t xml:space="preserve">Market Price </t>
  </si>
  <si>
    <t>(as of 31st March 2025)</t>
  </si>
  <si>
    <t>Share Premium/(Discount)</t>
  </si>
  <si>
    <t>Share Premium/(Discount) (%)</t>
  </si>
  <si>
    <t>Recommendation</t>
  </si>
  <si>
    <t>Strong Buy/Hold</t>
  </si>
  <si>
    <t>360 ONE WAM</t>
  </si>
  <si>
    <t>Anand Rathi Wealth Ltd</t>
  </si>
  <si>
    <t>Prudent Corporate Advisory Services</t>
  </si>
  <si>
    <t>Share India Securities Ltd</t>
  </si>
  <si>
    <t>Geojit Financial Services Ltd</t>
  </si>
  <si>
    <t>Monarch Networth Capital Ltd</t>
  </si>
  <si>
    <t>5Paisa Capital Ltd</t>
  </si>
  <si>
    <t>Share
Price</t>
  </si>
  <si>
    <t>Shares
Outstanding</t>
  </si>
  <si>
    <t>Market
Capitalisation</t>
  </si>
  <si>
    <t>Net Debt</t>
  </si>
  <si>
    <t>Net 
Debt</t>
  </si>
  <si>
    <t>Enterprise
Value</t>
  </si>
  <si>
    <t>EV/EBITDA</t>
  </si>
  <si>
    <t>P/E</t>
  </si>
  <si>
    <t>(in Rs. Million)</t>
  </si>
  <si>
    <t>(in Millions)</t>
  </si>
  <si>
    <t>(Rs./sh)</t>
  </si>
  <si>
    <t>Share Price</t>
  </si>
  <si>
    <t>Shares O/S</t>
  </si>
  <si>
    <t>As of 31/3/25</t>
  </si>
  <si>
    <t>Yahoo Finance</t>
  </si>
  <si>
    <t>Moneycontrol</t>
  </si>
  <si>
    <t>Screener</t>
  </si>
  <si>
    <t xml:space="preserve">EBITDA(2025A) </t>
  </si>
  <si>
    <t>Net Income (2025A)</t>
  </si>
  <si>
    <t>Maximum</t>
  </si>
  <si>
    <t>Minimum</t>
  </si>
  <si>
    <t>Year</t>
  </si>
  <si>
    <t>Median Multiples</t>
  </si>
  <si>
    <t>Angel One: Comparable Company Analysis</t>
  </si>
  <si>
    <t>Market Screener</t>
  </si>
  <si>
    <t>Market Screener- NI</t>
  </si>
  <si>
    <t>Market Screener- EBITDA; Trendyline-NI</t>
  </si>
  <si>
    <t>Others- CAGR</t>
  </si>
  <si>
    <t>Acquirer</t>
  </si>
  <si>
    <t>Target</t>
  </si>
  <si>
    <t>Share 
Price</t>
  </si>
  <si>
    <t>Offer
Price</t>
  </si>
  <si>
    <t>Control
Premium</t>
  </si>
  <si>
    <t>Market Cap.
at Offer</t>
  </si>
  <si>
    <t>Net
Debt</t>
  </si>
  <si>
    <t>Angel One: Precedent Transaction Analysis</t>
  </si>
  <si>
    <t>ICICI Bank</t>
  </si>
  <si>
    <t>All figures in INR million unless stated otherwise</t>
  </si>
  <si>
    <t>ICICI Securities (74.85%)</t>
  </si>
  <si>
    <t>HDFC Bank</t>
  </si>
  <si>
    <t>Kotak Mahindra Bank (~9.5%)</t>
  </si>
  <si>
    <t>State Bank of India</t>
  </si>
  <si>
    <t>Yes Bank (23.97%)</t>
  </si>
  <si>
    <t>Dependent on RFO</t>
  </si>
  <si>
    <r>
      <t xml:space="preserve">Dashboard: </t>
    </r>
    <r>
      <rPr>
        <sz val="20"/>
        <color theme="1"/>
        <rFont val="Montserrat Medium"/>
      </rPr>
      <t xml:space="preserve">Discounted Cash Flow </t>
    </r>
  </si>
  <si>
    <t>Main Outputs</t>
  </si>
  <si>
    <t>Model Drivers set to</t>
  </si>
  <si>
    <t>All figures are in INR million unless stated otherwise</t>
  </si>
  <si>
    <t>Best Case</t>
  </si>
  <si>
    <t>Base Case</t>
  </si>
  <si>
    <t>Worst Case</t>
  </si>
  <si>
    <t>Equity Value/sh</t>
  </si>
  <si>
    <t>Selected Inputs</t>
  </si>
  <si>
    <t>Equity Value/share</t>
  </si>
  <si>
    <t>Premium (Discount)/share</t>
  </si>
  <si>
    <t>Current Market Price</t>
  </si>
  <si>
    <t>Revenue</t>
  </si>
  <si>
    <t>2026F</t>
  </si>
  <si>
    <t>2027F</t>
  </si>
  <si>
    <t>Terminal Revenue CAGR</t>
  </si>
  <si>
    <t>Tax Rate</t>
  </si>
  <si>
    <t>Live Case</t>
  </si>
  <si>
    <t>Drivers</t>
  </si>
  <si>
    <t>Best- 1st year 20% YoY; 2nd year 30% YoY</t>
  </si>
  <si>
    <t>Best- 30%</t>
  </si>
  <si>
    <t>Worst- 20%</t>
  </si>
  <si>
    <t>Best- 20%</t>
  </si>
  <si>
    <t>Worst- 30%</t>
  </si>
  <si>
    <t>Worst- 1st year -15% YoY; 2nd year -25% YoY</t>
  </si>
  <si>
    <t>Increases EBITDA</t>
  </si>
  <si>
    <t>Decreases EBITDA</t>
  </si>
  <si>
    <t>Increases EV</t>
  </si>
  <si>
    <t>Decreases EV</t>
  </si>
  <si>
    <t>Increases NPAT</t>
  </si>
  <si>
    <t>Decreases NPAT</t>
  </si>
  <si>
    <t>Sensitivity &amp; Scenario Analysis</t>
  </si>
  <si>
    <t>Precedent Transaction Analysis</t>
  </si>
  <si>
    <t>High</t>
  </si>
  <si>
    <t>Low</t>
  </si>
  <si>
    <t>Middle</t>
  </si>
  <si>
    <t>Average Valuation</t>
  </si>
  <si>
    <t>Hindon Mercantile Ltd.</t>
  </si>
  <si>
    <t>LKP Finance Ltd. (26%)</t>
  </si>
  <si>
    <t>(Max+Min)/2</t>
  </si>
  <si>
    <t>EV/EBITDA Multiples</t>
  </si>
  <si>
    <t>Valuation Football Field</t>
  </si>
  <si>
    <t>52-week High/Low</t>
  </si>
  <si>
    <t>Comparable Company Analysis</t>
  </si>
  <si>
    <t>Devansh Wadhwani | FMVA</t>
  </si>
  <si>
    <t>ABOUT ANGEL ONE LIMITED</t>
  </si>
  <si>
    <t>ABOUT ME</t>
  </si>
  <si>
    <t xml:space="preserve">*This template is for academic purposes only and does not contain elements used by any specific corporate/firm. </t>
  </si>
  <si>
    <t>*Any individual can access and use this template once published.</t>
  </si>
  <si>
    <t>*The owner does not consent to any kind of usage of his credentials.</t>
  </si>
  <si>
    <t>SET THE MODEL</t>
  </si>
  <si>
    <t>*Any information/logo associated with Angel One Limited belongs to its rightful owner.</t>
  </si>
  <si>
    <t>*This is a Compact Model and therefore has relatively basic assumptions. It would be best to use this as a mere conceptual reference for a Complete Model.</t>
  </si>
  <si>
    <t>Scenario Drivers</t>
  </si>
  <si>
    <t>DCF</t>
  </si>
  <si>
    <t>PnL</t>
  </si>
  <si>
    <t>B/S</t>
  </si>
  <si>
    <t>FCFF</t>
  </si>
  <si>
    <t>DCF-Multiple Method</t>
  </si>
  <si>
    <t>Trading Comps</t>
  </si>
  <si>
    <t>Sources:</t>
  </si>
  <si>
    <t>PTA</t>
  </si>
  <si>
    <t>Target EV/EBITDA Multiple</t>
  </si>
  <si>
    <t>The firm generates operating cash flows primarily through three avenues: flat-fee derivative and equity brokerage, recurring interest income from a rapidly expanding Margin Trading Facility (MTF) book, and ancillary distribution fees. Operating leverage remains its most critical value driver, allowing fixed digital infrastructure costs to scale efficiently against increasing transaction volumes and active client ratios.</t>
  </si>
  <si>
    <t>This compact valuation model evaluates the firm's intrinsic value through dynamic scenario analysis. Anchored by a calculated WACC of ~12.5% and a conservative 13x exit EBITDA multiple, the Base Case derives an implied equity value of ₹5,138 per share. This suggests a strong intrinsic upside relative to current market levels, heavily contingent on terminal revenue growth rates and stable regulatory conditions within the derivative segments.</t>
  </si>
  <si>
    <r>
      <rPr>
        <b/>
        <sz val="16"/>
        <color theme="0"/>
        <rFont val="Copperplate Gothic Bold"/>
        <family val="2"/>
      </rPr>
      <t>Angel One</t>
    </r>
    <r>
      <rPr>
        <sz val="16"/>
        <color theme="0"/>
        <rFont val="Copperplate Gothic Bold"/>
        <family val="2"/>
      </rPr>
      <t xml:space="preserve"> Limited</t>
    </r>
    <r>
      <rPr>
        <sz val="16"/>
        <color theme="0"/>
        <rFont val="Copperplate Gothic Light"/>
        <family val="2"/>
      </rPr>
      <t xml:space="preserve"> is a premier, digital-first retail brokerage and financial services firm in India. Having successfully transitioned to a low-cost, technology-driven platform, the company relies on deep smartphone penetration and digital KYC infrastructure to capture the demographic dividend of first-time investors across Tier-2 and Tier-3 cities.</t>
    </r>
  </si>
  <si>
    <r>
      <rPr>
        <b/>
        <sz val="16"/>
        <color theme="0"/>
        <rFont val="Copperplate Gothic Bold"/>
        <family val="2"/>
      </rPr>
      <t>Devansh wadhwani</t>
    </r>
    <r>
      <rPr>
        <sz val="16"/>
        <color theme="0"/>
        <rFont val="Copperplate Gothic Light"/>
        <family val="2"/>
      </rPr>
      <t xml:space="preserve"> is a final-year Bachelor of Business Administration (BBA) candidate at NMIMS Mumbai, demonstrating a strong quantitative foundation in corporate finance, equity research, and fundamental analysis. As a CFA Level 1 candidate and a certified Financial Valuation and Modeling Analyst (FMVA), he possesses specialized expertise in constructing rigorous financial models, evaluating macroeconomic drivers, and analyzing complex business economics. With a sharp focus on Mergers &amp; Acquisitions and private equity workflows, Devansh built this model to showcase technical proficiency in translating strategic business initiatives into dynamic, scenario-driven cash flow projections.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</si>
</sst>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quot;-&quot;"/>
    <numFmt numFmtId="165" formatCode="0.0%"/>
    <numFmt numFmtId="166" formatCode="#,##0.00\x;\(#,##0.00\);\ &quot;-&quot;"/>
    <numFmt numFmtId="167" formatCode="#,##0\x;\(#,##0\);\ &quot;-&quot;"/>
  </numFmts>
  <fonts count="24" x14ac:knownFonts="1">
    <font>
      <sz val="11"/>
      <color theme="1"/>
      <name val="Calibri"/>
      <family val="2"/>
      <scheme val="minor"/>
    </font>
    <font>
      <sz val="11"/>
      <color theme="1"/>
      <name val="Calibri"/>
      <family val="2"/>
      <scheme val="minor"/>
    </font>
    <font>
      <sz val="11"/>
      <color theme="1"/>
      <name val="Montserrat Medium"/>
    </font>
    <font>
      <sz val="11"/>
      <color theme="8" tint="-0.249977111117893"/>
      <name val="Montserrat Medium"/>
    </font>
    <font>
      <sz val="11"/>
      <name val="Montserrat Medium"/>
    </font>
    <font>
      <b/>
      <sz val="20"/>
      <color theme="1"/>
      <name val="Montserrat Medium"/>
    </font>
    <font>
      <i/>
      <sz val="11"/>
      <color theme="1"/>
      <name val="Montserrat Medium"/>
    </font>
    <font>
      <b/>
      <sz val="11"/>
      <color theme="1"/>
      <name val="Montserrat Medium"/>
    </font>
    <font>
      <b/>
      <sz val="11"/>
      <color theme="8" tint="-0.249977111117893"/>
      <name val="Montserrat Medium"/>
    </font>
    <font>
      <sz val="9"/>
      <color theme="1"/>
      <name val="Montserrat Medium"/>
    </font>
    <font>
      <b/>
      <sz val="11"/>
      <color rgb="FF00B050"/>
      <name val="Montserrat Medium"/>
    </font>
    <font>
      <sz val="11"/>
      <color theme="9" tint="-0.249977111117893"/>
      <name val="Montserrat Medium"/>
    </font>
    <font>
      <sz val="20"/>
      <color theme="1"/>
      <name val="Montserrat Medium"/>
    </font>
    <font>
      <sz val="11"/>
      <color theme="0"/>
      <name val="Montserrat Medium"/>
    </font>
    <font>
      <sz val="11"/>
      <color theme="8" tint="0.39997558519241921"/>
      <name val="Montserrat Medium"/>
    </font>
    <font>
      <b/>
      <i/>
      <sz val="11"/>
      <color theme="1"/>
      <name val="Montserrat Medium"/>
    </font>
    <font>
      <i/>
      <sz val="9"/>
      <color theme="1"/>
      <name val="Montserrat Medium"/>
    </font>
    <font>
      <sz val="24"/>
      <color theme="0"/>
      <name val="Copperplate Gothic Light"/>
      <family val="2"/>
    </font>
    <font>
      <sz val="11"/>
      <color rgb="FF002060"/>
      <name val="Montserrat Medium"/>
    </font>
    <font>
      <sz val="18"/>
      <color theme="0"/>
      <name val="Copperplate Gothic Light"/>
      <family val="2"/>
    </font>
    <font>
      <i/>
      <sz val="8"/>
      <color theme="0"/>
      <name val="Microsoft New Tai Lue"/>
      <family val="2"/>
    </font>
    <font>
      <sz val="16"/>
      <color theme="0"/>
      <name val="Copperplate Gothic Light"/>
      <family val="2"/>
    </font>
    <font>
      <b/>
      <sz val="16"/>
      <color theme="0"/>
      <name val="Copperplate Gothic Bold"/>
      <family val="2"/>
    </font>
    <font>
      <sz val="16"/>
      <color theme="0"/>
      <name val="Copperplate Gothic Bold"/>
      <family val="2"/>
    </font>
  </fonts>
  <fills count="5">
    <fill>
      <patternFill patternType="none"/>
    </fill>
    <fill>
      <patternFill patternType="gray125"/>
    </fill>
    <fill>
      <patternFill patternType="solid">
        <fgColor theme="8" tint="0.59999389629810485"/>
        <bgColor indexed="64"/>
      </patternFill>
    </fill>
    <fill>
      <patternFill patternType="solid">
        <fgColor rgb="FF002060"/>
        <bgColor indexed="64"/>
      </patternFill>
    </fill>
    <fill>
      <patternFill patternType="solid">
        <fgColor theme="0"/>
        <bgColor indexed="64"/>
      </patternFill>
    </fill>
  </fills>
  <borders count="53">
    <border>
      <left/>
      <right/>
      <top/>
      <bottom/>
      <diagonal/>
    </border>
    <border>
      <left/>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diagonal/>
    </border>
    <border>
      <left/>
      <right style="thin">
        <color indexed="64"/>
      </right>
      <top style="double">
        <color indexed="64"/>
      </top>
      <bottom/>
      <diagonal/>
    </border>
    <border>
      <left/>
      <right style="thin">
        <color indexed="64"/>
      </right>
      <top style="thin">
        <color indexed="64"/>
      </top>
      <bottom/>
      <diagonal/>
    </border>
    <border>
      <left/>
      <right style="thin">
        <color indexed="64"/>
      </right>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right style="hair">
        <color indexed="64"/>
      </right>
      <top style="hair">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theme="8" tint="-0.249977111117893"/>
      </bottom>
      <diagonal/>
    </border>
    <border>
      <left/>
      <right/>
      <top style="hair">
        <color indexed="64"/>
      </top>
      <bottom/>
      <diagonal/>
    </border>
    <border>
      <left style="hair">
        <color indexed="64"/>
      </left>
      <right/>
      <top/>
      <bottom/>
      <diagonal/>
    </border>
    <border>
      <left/>
      <right style="hair">
        <color indexed="64"/>
      </right>
      <top/>
      <bottom/>
      <diagonal/>
    </border>
    <border>
      <left/>
      <right/>
      <top/>
      <bottom style="hair">
        <color indexed="64"/>
      </bottom>
      <diagonal/>
    </border>
    <border>
      <left style="hair">
        <color theme="8" tint="-0.249977111117893"/>
      </left>
      <right style="hair">
        <color theme="8" tint="-0.249977111117893"/>
      </right>
      <top style="hair">
        <color theme="8" tint="-0.249977111117893"/>
      </top>
      <bottom style="hair">
        <color theme="8" tint="-0.249977111117893"/>
      </bottom>
      <diagonal/>
    </border>
    <border>
      <left style="hair">
        <color theme="8" tint="-0.249977111117893"/>
      </left>
      <right/>
      <top style="hair">
        <color theme="8" tint="-0.249977111117893"/>
      </top>
      <bottom style="hair">
        <color theme="8" tint="-0.249977111117893"/>
      </bottom>
      <diagonal/>
    </border>
    <border>
      <left/>
      <right/>
      <top style="hair">
        <color theme="8" tint="-0.249977111117893"/>
      </top>
      <bottom style="hair">
        <color theme="8" tint="-0.249977111117893"/>
      </bottom>
      <diagonal/>
    </border>
    <border>
      <left/>
      <right style="hair">
        <color theme="8" tint="-0.249977111117893"/>
      </right>
      <top style="hair">
        <color theme="8" tint="-0.249977111117893"/>
      </top>
      <bottom style="hair">
        <color theme="8" tint="-0.249977111117893"/>
      </bottom>
      <diagonal/>
    </border>
    <border>
      <left style="hair">
        <color theme="8" tint="-0.249977111117893"/>
      </left>
      <right/>
      <top style="hair">
        <color theme="8" tint="-0.249977111117893"/>
      </top>
      <bottom/>
      <diagonal/>
    </border>
    <border>
      <left/>
      <right/>
      <top style="hair">
        <color theme="8" tint="-0.249977111117893"/>
      </top>
      <bottom/>
      <diagonal/>
    </border>
    <border>
      <left/>
      <right style="hair">
        <color theme="8" tint="-0.249977111117893"/>
      </right>
      <top style="hair">
        <color theme="8" tint="-0.249977111117893"/>
      </top>
      <bottom/>
      <diagonal/>
    </border>
    <border>
      <left style="hair">
        <color theme="8" tint="-0.249977111117893"/>
      </left>
      <right/>
      <top/>
      <bottom/>
      <diagonal/>
    </border>
    <border>
      <left/>
      <right style="hair">
        <color theme="8" tint="-0.249977111117893"/>
      </right>
      <top/>
      <bottom/>
      <diagonal/>
    </border>
    <border>
      <left style="hair">
        <color theme="8" tint="-0.249977111117893"/>
      </left>
      <right/>
      <top/>
      <bottom style="hair">
        <color theme="8" tint="-0.249977111117893"/>
      </bottom>
      <diagonal/>
    </border>
    <border>
      <left/>
      <right/>
      <top/>
      <bottom style="hair">
        <color theme="8" tint="-0.249977111117893"/>
      </bottom>
      <diagonal/>
    </border>
    <border>
      <left/>
      <right style="hair">
        <color theme="8" tint="-0.249977111117893"/>
      </right>
      <top/>
      <bottom style="hair">
        <color theme="8" tint="-0.249977111117893"/>
      </bottom>
      <diagonal/>
    </border>
    <border>
      <left style="hair">
        <color theme="8" tint="-0.249977111117893"/>
      </left>
      <right style="hair">
        <color theme="8" tint="-0.249977111117893"/>
      </right>
      <top style="hair">
        <color theme="8" tint="-0.249977111117893"/>
      </top>
      <bottom/>
      <diagonal/>
    </border>
    <border>
      <left style="hair">
        <color theme="8" tint="-0.249977111117893"/>
      </left>
      <right style="hair">
        <color theme="8" tint="-0.249977111117893"/>
      </right>
      <top/>
      <bottom/>
      <diagonal/>
    </border>
    <border>
      <left style="hair">
        <color theme="8" tint="-0.249977111117893"/>
      </left>
      <right style="hair">
        <color theme="8" tint="-0.249977111117893"/>
      </right>
      <top/>
      <bottom style="hair">
        <color theme="8" tint="-0.249977111117893"/>
      </bottom>
      <diagonal/>
    </border>
    <border>
      <left style="hair">
        <color indexed="64"/>
      </left>
      <right style="hair">
        <color indexed="64"/>
      </right>
      <top style="hair">
        <color indexed="64"/>
      </top>
      <bottom style="hair">
        <color indexed="64"/>
      </bottom>
      <diagonal/>
    </border>
    <border>
      <left/>
      <right/>
      <top/>
      <bottom style="thin">
        <color theme="0"/>
      </bottom>
      <diagonal/>
    </border>
    <border>
      <left/>
      <right/>
      <top style="thin">
        <color theme="0"/>
      </top>
      <bottom/>
      <diagonal/>
    </border>
  </borders>
  <cellStyleXfs count="2">
    <xf numFmtId="0" fontId="0" fillId="0" borderId="0"/>
    <xf numFmtId="9" fontId="1" fillId="0" borderId="0" applyFont="0" applyFill="0" applyBorder="0" applyAlignment="0" applyProtection="0"/>
  </cellStyleXfs>
  <cellXfs count="242">
    <xf numFmtId="0" fontId="0" fillId="0" borderId="0" xfId="0"/>
    <xf numFmtId="164" fontId="2" fillId="0" borderId="0" xfId="0" applyNumberFormat="1" applyFont="1"/>
    <xf numFmtId="164" fontId="2" fillId="0" borderId="4" xfId="0" applyNumberFormat="1" applyFont="1" applyBorder="1"/>
    <xf numFmtId="164" fontId="2" fillId="0" borderId="1" xfId="0" applyNumberFormat="1" applyFont="1" applyBorder="1"/>
    <xf numFmtId="164" fontId="2" fillId="0" borderId="2" xfId="0" applyNumberFormat="1" applyFont="1" applyBorder="1"/>
    <xf numFmtId="164" fontId="5" fillId="2" borderId="0" xfId="0" applyNumberFormat="1" applyFont="1" applyFill="1"/>
    <xf numFmtId="164" fontId="2" fillId="2" borderId="0" xfId="0" applyNumberFormat="1" applyFont="1" applyFill="1"/>
    <xf numFmtId="9" fontId="2" fillId="2" borderId="0" xfId="1" applyFont="1" applyFill="1"/>
    <xf numFmtId="165" fontId="2" fillId="2" borderId="0" xfId="1" applyNumberFormat="1" applyFont="1" applyFill="1"/>
    <xf numFmtId="164" fontId="6" fillId="0" borderId="0" xfId="0" applyNumberFormat="1" applyFont="1" applyAlignment="1">
      <alignment wrapText="1"/>
    </xf>
    <xf numFmtId="164" fontId="2" fillId="0" borderId="8" xfId="0" applyNumberFormat="1" applyFont="1" applyBorder="1"/>
    <xf numFmtId="164" fontId="7" fillId="0" borderId="8" xfId="0" applyNumberFormat="1" applyFont="1" applyBorder="1"/>
    <xf numFmtId="164" fontId="7" fillId="0" borderId="0" xfId="0" applyNumberFormat="1" applyFont="1"/>
    <xf numFmtId="164" fontId="7" fillId="0" borderId="1" xfId="0" applyNumberFormat="1" applyFont="1" applyBorder="1"/>
    <xf numFmtId="164" fontId="7" fillId="0" borderId="2" xfId="0" applyNumberFormat="1" applyFont="1" applyBorder="1"/>
    <xf numFmtId="164" fontId="2" fillId="0" borderId="12" xfId="0" applyNumberFormat="1" applyFont="1" applyBorder="1"/>
    <xf numFmtId="164" fontId="2" fillId="0" borderId="7" xfId="0" applyNumberFormat="1" applyFont="1" applyBorder="1"/>
    <xf numFmtId="164" fontId="2" fillId="0" borderId="5" xfId="0" applyNumberFormat="1" applyFont="1" applyBorder="1"/>
    <xf numFmtId="164" fontId="2" fillId="0" borderId="13" xfId="0" applyNumberFormat="1" applyFont="1" applyBorder="1"/>
    <xf numFmtId="164" fontId="3" fillId="0" borderId="0" xfId="0" applyNumberFormat="1" applyFont="1"/>
    <xf numFmtId="164" fontId="4" fillId="0" borderId="0" xfId="0" applyNumberFormat="1" applyFont="1"/>
    <xf numFmtId="164" fontId="3" fillId="0" borderId="0" xfId="0" applyNumberFormat="1" applyFont="1" applyAlignment="1">
      <alignment horizontal="right" vertical="center"/>
    </xf>
    <xf numFmtId="164" fontId="3" fillId="0" borderId="0" xfId="0" applyNumberFormat="1" applyFont="1" applyAlignment="1">
      <alignment horizontal="right"/>
    </xf>
    <xf numFmtId="164" fontId="4" fillId="0" borderId="0" xfId="0" applyNumberFormat="1" applyFont="1" applyAlignment="1">
      <alignment horizontal="right"/>
    </xf>
    <xf numFmtId="164" fontId="2" fillId="0" borderId="4" xfId="0" applyNumberFormat="1" applyFont="1" applyBorder="1" applyAlignment="1">
      <alignment horizontal="right"/>
    </xf>
    <xf numFmtId="164" fontId="2" fillId="0" borderId="0" xfId="0" applyNumberFormat="1" applyFont="1" applyAlignment="1">
      <alignment horizontal="right"/>
    </xf>
    <xf numFmtId="164" fontId="3" fillId="0" borderId="1" xfId="0" applyNumberFormat="1" applyFont="1" applyBorder="1" applyAlignment="1">
      <alignment horizontal="right"/>
    </xf>
    <xf numFmtId="164" fontId="2" fillId="0" borderId="1" xfId="0" applyNumberFormat="1" applyFont="1" applyBorder="1" applyAlignment="1">
      <alignment horizontal="right"/>
    </xf>
    <xf numFmtId="164" fontId="2" fillId="0" borderId="3" xfId="0" applyNumberFormat="1" applyFont="1" applyBorder="1" applyAlignment="1">
      <alignment horizontal="right"/>
    </xf>
    <xf numFmtId="164" fontId="3" fillId="0" borderId="2" xfId="0" applyNumberFormat="1" applyFont="1" applyBorder="1" applyAlignment="1">
      <alignment horizontal="right"/>
    </xf>
    <xf numFmtId="164" fontId="2" fillId="0" borderId="2" xfId="0" applyNumberFormat="1" applyFont="1" applyBorder="1" applyAlignment="1">
      <alignment horizontal="right"/>
    </xf>
    <xf numFmtId="164" fontId="2" fillId="0" borderId="6" xfId="0" applyNumberFormat="1" applyFont="1" applyBorder="1" applyAlignment="1">
      <alignment horizontal="right"/>
    </xf>
    <xf numFmtId="164" fontId="8" fillId="0" borderId="8" xfId="0" applyNumberFormat="1" applyFont="1" applyBorder="1" applyAlignment="1">
      <alignment horizontal="right" vertical="center"/>
    </xf>
    <xf numFmtId="164" fontId="7" fillId="0" borderId="9" xfId="0" applyNumberFormat="1" applyFont="1" applyBorder="1" applyAlignment="1">
      <alignment horizontal="right" vertical="center"/>
    </xf>
    <xf numFmtId="164" fontId="7" fillId="0" borderId="10" xfId="0" applyNumberFormat="1" applyFont="1" applyBorder="1" applyAlignment="1">
      <alignment horizontal="right" vertical="center"/>
    </xf>
    <xf numFmtId="164" fontId="7" fillId="0" borderId="11" xfId="0" applyNumberFormat="1" applyFont="1" applyBorder="1" applyAlignment="1">
      <alignment horizontal="right" vertical="center"/>
    </xf>
    <xf numFmtId="164" fontId="2" fillId="0" borderId="6" xfId="0" applyNumberFormat="1" applyFont="1" applyBorder="1"/>
    <xf numFmtId="10" fontId="2" fillId="0" borderId="0" xfId="1" applyNumberFormat="1" applyFont="1"/>
    <xf numFmtId="164" fontId="2" fillId="0" borderId="16" xfId="0" applyNumberFormat="1" applyFont="1" applyBorder="1"/>
    <xf numFmtId="164" fontId="2" fillId="0" borderId="18" xfId="0" applyNumberFormat="1" applyFont="1" applyBorder="1"/>
    <xf numFmtId="164" fontId="2" fillId="0" borderId="14" xfId="0" applyNumberFormat="1" applyFont="1" applyBorder="1" applyAlignment="1">
      <alignment horizontal="center"/>
    </xf>
    <xf numFmtId="164" fontId="2" fillId="0" borderId="12" xfId="0" applyNumberFormat="1" applyFont="1" applyBorder="1" applyAlignment="1">
      <alignment horizontal="center"/>
    </xf>
    <xf numFmtId="14" fontId="2" fillId="0" borderId="21" xfId="0" applyNumberFormat="1" applyFont="1" applyBorder="1" applyAlignment="1">
      <alignment horizontal="center"/>
    </xf>
    <xf numFmtId="14" fontId="2" fillId="0" borderId="12" xfId="0" applyNumberFormat="1" applyFont="1" applyBorder="1" applyAlignment="1">
      <alignment horizontal="center"/>
    </xf>
    <xf numFmtId="14" fontId="2" fillId="0" borderId="23" xfId="0" applyNumberFormat="1" applyFont="1" applyBorder="1" applyAlignment="1">
      <alignment horizontal="center"/>
    </xf>
    <xf numFmtId="14" fontId="2" fillId="0" borderId="24" xfId="0" applyNumberFormat="1" applyFont="1" applyBorder="1" applyAlignment="1">
      <alignment horizontal="center"/>
    </xf>
    <xf numFmtId="164" fontId="9" fillId="0" borderId="21" xfId="0" applyNumberFormat="1" applyFont="1" applyBorder="1" applyAlignment="1">
      <alignment horizontal="center"/>
    </xf>
    <xf numFmtId="164" fontId="9" fillId="0" borderId="12" xfId="0" applyNumberFormat="1" applyFont="1" applyBorder="1" applyAlignment="1">
      <alignment horizontal="center"/>
    </xf>
    <xf numFmtId="164" fontId="7" fillId="0" borderId="3" xfId="0" applyNumberFormat="1" applyFont="1" applyBorder="1" applyAlignment="1">
      <alignment horizontal="center" vertical="center" wrapText="1"/>
    </xf>
    <xf numFmtId="164" fontId="7" fillId="0" borderId="25" xfId="0" applyNumberFormat="1" applyFont="1" applyBorder="1" applyAlignment="1">
      <alignment horizontal="centerContinuous" vertical="center"/>
    </xf>
    <xf numFmtId="164" fontId="7" fillId="0" borderId="7" xfId="0" applyNumberFormat="1" applyFont="1" applyBorder="1" applyAlignment="1">
      <alignment horizontal="centerContinuous" vertical="center"/>
    </xf>
    <xf numFmtId="164" fontId="7" fillId="0" borderId="7" xfId="0" applyNumberFormat="1" applyFont="1" applyBorder="1" applyAlignment="1">
      <alignment horizontal="center" vertical="center"/>
    </xf>
    <xf numFmtId="164" fontId="9" fillId="0" borderId="4" xfId="0" applyNumberFormat="1" applyFont="1" applyBorder="1" applyAlignment="1">
      <alignment horizontal="center"/>
    </xf>
    <xf numFmtId="14" fontId="2" fillId="0" borderId="4" xfId="0" applyNumberFormat="1" applyFont="1" applyBorder="1" applyAlignment="1">
      <alignment horizontal="center"/>
    </xf>
    <xf numFmtId="14" fontId="2" fillId="0" borderId="26" xfId="0" applyNumberFormat="1" applyFont="1" applyBorder="1" applyAlignment="1">
      <alignment horizontal="center"/>
    </xf>
    <xf numFmtId="10" fontId="3" fillId="0" borderId="0" xfId="1" applyNumberFormat="1" applyFont="1"/>
    <xf numFmtId="164" fontId="2" fillId="2" borderId="0" xfId="1" applyNumberFormat="1" applyFont="1" applyFill="1"/>
    <xf numFmtId="164" fontId="7" fillId="0" borderId="22" xfId="0" applyNumberFormat="1" applyFont="1" applyBorder="1"/>
    <xf numFmtId="164" fontId="2" fillId="0" borderId="22" xfId="0" applyNumberFormat="1" applyFont="1" applyBorder="1"/>
    <xf numFmtId="164" fontId="7" fillId="0" borderId="1" xfId="0" applyNumberFormat="1" applyFont="1" applyBorder="1" applyAlignment="1">
      <alignment horizontal="center" vertical="center" wrapText="1"/>
    </xf>
    <xf numFmtId="164" fontId="7" fillId="0" borderId="7" xfId="0" applyNumberFormat="1" applyFont="1" applyBorder="1" applyAlignment="1">
      <alignment horizontal="center" vertical="center" wrapText="1"/>
    </xf>
    <xf numFmtId="164" fontId="7" fillId="0" borderId="20" xfId="0" applyNumberFormat="1" applyFont="1" applyBorder="1"/>
    <xf numFmtId="10" fontId="2" fillId="0" borderId="1" xfId="1" applyNumberFormat="1" applyFont="1" applyBorder="1"/>
    <xf numFmtId="10" fontId="2" fillId="0" borderId="2" xfId="1" applyNumberFormat="1" applyFont="1" applyBorder="1"/>
    <xf numFmtId="10" fontId="3" fillId="0" borderId="1" xfId="1" applyNumberFormat="1" applyFont="1" applyBorder="1"/>
    <xf numFmtId="164" fontId="7" fillId="0" borderId="22" xfId="0" applyNumberFormat="1" applyFont="1" applyBorder="1" applyAlignment="1">
      <alignment horizontal="center" vertical="center"/>
    </xf>
    <xf numFmtId="164" fontId="7" fillId="0" borderId="22" xfId="0" applyNumberFormat="1" applyFont="1" applyBorder="1" applyAlignment="1">
      <alignment vertical="center"/>
    </xf>
    <xf numFmtId="164" fontId="7" fillId="0" borderId="22" xfId="0" applyNumberFormat="1" applyFont="1" applyBorder="1" applyAlignment="1">
      <alignment horizontal="right" vertical="center"/>
    </xf>
    <xf numFmtId="10" fontId="3" fillId="0" borderId="0" xfId="1" applyNumberFormat="1" applyFont="1" applyAlignment="1">
      <alignment horizontal="center"/>
    </xf>
    <xf numFmtId="164" fontId="3" fillId="0" borderId="0" xfId="1" applyNumberFormat="1" applyFont="1" applyAlignment="1">
      <alignment horizontal="center"/>
    </xf>
    <xf numFmtId="164" fontId="3" fillId="0" borderId="0" xfId="0" applyNumberFormat="1" applyFont="1" applyAlignment="1">
      <alignment horizontal="center"/>
    </xf>
    <xf numFmtId="10" fontId="3" fillId="0" borderId="22" xfId="1" applyNumberFormat="1" applyFont="1" applyBorder="1" applyAlignment="1">
      <alignment horizontal="center"/>
    </xf>
    <xf numFmtId="164" fontId="3" fillId="0" borderId="22" xfId="1" applyNumberFormat="1" applyFont="1" applyBorder="1" applyAlignment="1">
      <alignment horizontal="center"/>
    </xf>
    <xf numFmtId="164" fontId="3" fillId="0" borderId="22" xfId="0" applyNumberFormat="1" applyFont="1" applyBorder="1" applyAlignment="1">
      <alignment horizontal="center"/>
    </xf>
    <xf numFmtId="164" fontId="2" fillId="0" borderId="15" xfId="0" applyNumberFormat="1" applyFont="1" applyBorder="1" applyAlignment="1">
      <alignment horizontal="center"/>
    </xf>
    <xf numFmtId="10" fontId="2" fillId="0" borderId="20" xfId="1" applyNumberFormat="1" applyFont="1" applyBorder="1" applyAlignment="1">
      <alignment horizontal="center"/>
    </xf>
    <xf numFmtId="164" fontId="2" fillId="0" borderId="20" xfId="0" applyNumberFormat="1" applyFont="1" applyBorder="1" applyAlignment="1">
      <alignment horizontal="center"/>
    </xf>
    <xf numFmtId="10" fontId="2" fillId="0" borderId="22" xfId="1" applyNumberFormat="1" applyFont="1" applyBorder="1" applyAlignment="1">
      <alignment horizontal="center"/>
    </xf>
    <xf numFmtId="164" fontId="2" fillId="0" borderId="22" xfId="0" applyNumberFormat="1" applyFont="1" applyBorder="1" applyAlignment="1">
      <alignment horizontal="center"/>
    </xf>
    <xf numFmtId="10" fontId="7" fillId="0" borderId="2" xfId="1" applyNumberFormat="1" applyFont="1" applyBorder="1"/>
    <xf numFmtId="10" fontId="7" fillId="0" borderId="19" xfId="1" applyNumberFormat="1" applyFont="1" applyBorder="1"/>
    <xf numFmtId="164" fontId="8" fillId="0" borderId="22" xfId="0" applyNumberFormat="1" applyFont="1" applyBorder="1" applyAlignment="1">
      <alignment horizontal="right" vertical="center"/>
    </xf>
    <xf numFmtId="164" fontId="7" fillId="0" borderId="1" xfId="0" applyNumberFormat="1" applyFont="1" applyBorder="1" applyAlignment="1">
      <alignment horizontal="right" vertical="center"/>
    </xf>
    <xf numFmtId="164" fontId="2" fillId="0" borderId="19" xfId="0" applyNumberFormat="1" applyFont="1" applyBorder="1" applyAlignment="1">
      <alignment horizontal="center"/>
    </xf>
    <xf numFmtId="167" fontId="8" fillId="0" borderId="17" xfId="1" applyNumberFormat="1" applyFont="1" applyBorder="1"/>
    <xf numFmtId="164" fontId="7" fillId="0" borderId="3" xfId="0" applyNumberFormat="1" applyFont="1" applyBorder="1" applyAlignment="1">
      <alignment horizontal="right" vertical="center"/>
    </xf>
    <xf numFmtId="164" fontId="7" fillId="0" borderId="27" xfId="0" applyNumberFormat="1" applyFont="1" applyBorder="1" applyAlignment="1">
      <alignment horizontal="center"/>
    </xf>
    <xf numFmtId="164" fontId="6" fillId="0" borderId="0" xfId="0" applyNumberFormat="1" applyFont="1"/>
    <xf numFmtId="164" fontId="8" fillId="0" borderId="0" xfId="0" applyNumberFormat="1" applyFont="1"/>
    <xf numFmtId="10" fontId="7" fillId="0" borderId="1" xfId="1" applyNumberFormat="1" applyFont="1" applyBorder="1"/>
    <xf numFmtId="166" fontId="7" fillId="0" borderId="1" xfId="0" applyNumberFormat="1" applyFont="1" applyBorder="1"/>
    <xf numFmtId="164" fontId="10" fillId="0" borderId="2" xfId="0" applyNumberFormat="1" applyFont="1" applyBorder="1" applyAlignment="1">
      <alignment horizontal="right"/>
    </xf>
    <xf numFmtId="164" fontId="7" fillId="0" borderId="0" xfId="0" applyNumberFormat="1" applyFont="1" applyAlignment="1">
      <alignment horizontal="center" vertical="center" wrapText="1"/>
    </xf>
    <xf numFmtId="164" fontId="7" fillId="0" borderId="0" xfId="0" applyNumberFormat="1" applyFont="1" applyAlignment="1">
      <alignment horizontal="left" vertical="center"/>
    </xf>
    <xf numFmtId="164" fontId="7" fillId="0" borderId="0" xfId="0" applyNumberFormat="1" applyFont="1" applyAlignment="1">
      <alignment horizontal="centerContinuous" vertical="center"/>
    </xf>
    <xf numFmtId="164" fontId="3" fillId="0" borderId="22" xfId="0" applyNumberFormat="1" applyFont="1" applyBorder="1"/>
    <xf numFmtId="164" fontId="6" fillId="0" borderId="22" xfId="0" applyNumberFormat="1" applyFont="1" applyBorder="1"/>
    <xf numFmtId="164" fontId="2" fillId="0" borderId="0" xfId="0" applyNumberFormat="1" applyFont="1" applyAlignment="1">
      <alignment horizontal="centerContinuous" vertical="center"/>
    </xf>
    <xf numFmtId="164" fontId="6" fillId="0" borderId="0" xfId="0" applyNumberFormat="1" applyFont="1" applyAlignment="1">
      <alignment horizontal="centerContinuous" vertical="center"/>
    </xf>
    <xf numFmtId="164" fontId="6" fillId="0" borderId="0" xfId="0" applyNumberFormat="1" applyFont="1" applyAlignment="1">
      <alignment horizontal="centerContinuous" vertical="center" wrapText="1"/>
    </xf>
    <xf numFmtId="164" fontId="7" fillId="0" borderId="0" xfId="0" applyNumberFormat="1" applyFont="1" applyAlignment="1">
      <alignment horizontal="centerContinuous" vertical="top"/>
    </xf>
    <xf numFmtId="164" fontId="2" fillId="0" borderId="0" xfId="0" applyNumberFormat="1" applyFont="1" applyAlignment="1">
      <alignment horizontal="centerContinuous"/>
    </xf>
    <xf numFmtId="164" fontId="2" fillId="0" borderId="20" xfId="0" applyNumberFormat="1" applyFont="1" applyBorder="1"/>
    <xf numFmtId="164" fontId="7" fillId="0" borderId="0" xfId="0" applyNumberFormat="1" applyFont="1" applyAlignment="1">
      <alignment vertical="center"/>
    </xf>
    <xf numFmtId="164" fontId="7" fillId="0" borderId="22" xfId="0" applyNumberFormat="1" applyFont="1" applyBorder="1" applyAlignment="1">
      <alignment horizontal="left"/>
    </xf>
    <xf numFmtId="164" fontId="7" fillId="0" borderId="22" xfId="0" applyNumberFormat="1" applyFont="1" applyBorder="1" applyAlignment="1">
      <alignment horizontal="left" vertical="center"/>
    </xf>
    <xf numFmtId="164" fontId="11" fillId="0" borderId="0" xfId="0" applyNumberFormat="1" applyFont="1"/>
    <xf numFmtId="164" fontId="11" fillId="0" borderId="22" xfId="0" applyNumberFormat="1" applyFont="1" applyBorder="1"/>
    <xf numFmtId="164" fontId="7" fillId="0" borderId="20" xfId="0" applyNumberFormat="1" applyFont="1" applyBorder="1" applyAlignment="1">
      <alignment horizontal="centerContinuous" vertical="center"/>
    </xf>
    <xf numFmtId="164" fontId="4" fillId="0" borderId="22" xfId="0" applyNumberFormat="1" applyFont="1" applyBorder="1" applyAlignment="1">
      <alignment horizontal="right"/>
    </xf>
    <xf numFmtId="164" fontId="2" fillId="0" borderId="22" xfId="0" applyNumberFormat="1" applyFont="1" applyBorder="1" applyAlignment="1">
      <alignment horizontal="right"/>
    </xf>
    <xf numFmtId="164" fontId="7" fillId="0" borderId="12" xfId="0" applyNumberFormat="1" applyFont="1" applyBorder="1" applyAlignment="1">
      <alignment horizontal="centerContinuous" vertical="center"/>
    </xf>
    <xf numFmtId="164" fontId="2" fillId="0" borderId="15" xfId="0" applyNumberFormat="1" applyFont="1" applyBorder="1" applyAlignment="1">
      <alignment horizontal="right"/>
    </xf>
    <xf numFmtId="164" fontId="2" fillId="0" borderId="20" xfId="0" applyNumberFormat="1" applyFont="1" applyBorder="1" applyAlignment="1">
      <alignment horizontal="centerContinuous"/>
    </xf>
    <xf numFmtId="166" fontId="2" fillId="0" borderId="0" xfId="0" applyNumberFormat="1" applyFont="1"/>
    <xf numFmtId="166" fontId="2" fillId="0" borderId="12" xfId="0" applyNumberFormat="1" applyFont="1" applyBorder="1"/>
    <xf numFmtId="166" fontId="2" fillId="0" borderId="22" xfId="0" applyNumberFormat="1" applyFont="1" applyBorder="1"/>
    <xf numFmtId="166" fontId="2" fillId="0" borderId="15" xfId="0" applyNumberFormat="1" applyFont="1" applyBorder="1"/>
    <xf numFmtId="166" fontId="2" fillId="0" borderId="20" xfId="0" applyNumberFormat="1" applyFont="1" applyBorder="1"/>
    <xf numFmtId="166" fontId="2" fillId="0" borderId="14" xfId="0" applyNumberFormat="1" applyFont="1" applyBorder="1"/>
    <xf numFmtId="164" fontId="2" fillId="0" borderId="14" xfId="0" applyNumberFormat="1" applyFont="1" applyBorder="1"/>
    <xf numFmtId="164" fontId="6" fillId="0" borderId="22" xfId="0" applyNumberFormat="1" applyFont="1" applyBorder="1" applyAlignment="1">
      <alignment horizontal="centerContinuous" vertical="top"/>
    </xf>
    <xf numFmtId="164" fontId="2" fillId="0" borderId="22" xfId="0" applyNumberFormat="1" applyFont="1" applyBorder="1" applyAlignment="1">
      <alignment horizontal="centerContinuous"/>
    </xf>
    <xf numFmtId="164" fontId="11" fillId="0" borderId="20" xfId="0" applyNumberFormat="1" applyFont="1" applyBorder="1"/>
    <xf numFmtId="164" fontId="7" fillId="0" borderId="20" xfId="0" applyNumberFormat="1" applyFont="1" applyBorder="1" applyAlignment="1">
      <alignment horizontal="left"/>
    </xf>
    <xf numFmtId="164" fontId="7" fillId="0" borderId="0" xfId="0" applyNumberFormat="1" applyFont="1" applyAlignment="1">
      <alignment horizontal="left"/>
    </xf>
    <xf numFmtId="164" fontId="2" fillId="0" borderId="14" xfId="0" applyNumberFormat="1" applyFont="1" applyBorder="1" applyAlignment="1">
      <alignment horizontal="centerContinuous"/>
    </xf>
    <xf numFmtId="164" fontId="7" fillId="0" borderId="20" xfId="0" applyNumberFormat="1" applyFont="1" applyBorder="1" applyAlignment="1">
      <alignment horizontal="centerContinuous" vertical="top"/>
    </xf>
    <xf numFmtId="164" fontId="6" fillId="0" borderId="20" xfId="0" applyNumberFormat="1" applyFont="1" applyBorder="1" applyAlignment="1">
      <alignment horizontal="centerContinuous" vertical="top" wrapText="1"/>
    </xf>
    <xf numFmtId="164" fontId="2" fillId="0" borderId="28" xfId="0" applyNumberFormat="1" applyFont="1" applyBorder="1"/>
    <xf numFmtId="164" fontId="7" fillId="0" borderId="21" xfId="0" applyNumberFormat="1" applyFont="1" applyBorder="1" applyAlignment="1">
      <alignment horizontal="centerContinuous" vertical="center"/>
    </xf>
    <xf numFmtId="164" fontId="4" fillId="0" borderId="29" xfId="0" applyNumberFormat="1" applyFont="1" applyBorder="1" applyAlignment="1">
      <alignment horizontal="right"/>
    </xf>
    <xf numFmtId="166" fontId="2" fillId="0" borderId="21" xfId="0" applyNumberFormat="1" applyFont="1" applyBorder="1"/>
    <xf numFmtId="166" fontId="2" fillId="0" borderId="29" xfId="0" applyNumberFormat="1" applyFont="1" applyBorder="1"/>
    <xf numFmtId="166" fontId="2" fillId="0" borderId="28" xfId="0" applyNumberFormat="1" applyFont="1" applyBorder="1"/>
    <xf numFmtId="164" fontId="7" fillId="0" borderId="28" xfId="0" applyNumberFormat="1" applyFont="1" applyBorder="1" applyAlignment="1">
      <alignment horizontal="centerContinuous" vertical="center"/>
    </xf>
    <xf numFmtId="164" fontId="2" fillId="0" borderId="25" xfId="0" applyNumberFormat="1" applyFont="1" applyBorder="1" applyAlignment="1">
      <alignment horizontal="centerContinuous"/>
    </xf>
    <xf numFmtId="164" fontId="2" fillId="0" borderId="1" xfId="0" applyNumberFormat="1" applyFont="1" applyBorder="1" applyAlignment="1">
      <alignment horizontal="centerContinuous"/>
    </xf>
    <xf numFmtId="164" fontId="2" fillId="0" borderId="7" xfId="0" applyNumberFormat="1" applyFont="1" applyBorder="1" applyAlignment="1">
      <alignment horizontal="centerContinuous"/>
    </xf>
    <xf numFmtId="14" fontId="2" fillId="0" borderId="0" xfId="0" applyNumberFormat="1" applyFont="1"/>
    <xf numFmtId="0" fontId="2" fillId="0" borderId="0" xfId="0" applyFont="1"/>
    <xf numFmtId="164" fontId="7" fillId="0" borderId="0" xfId="0" applyNumberFormat="1" applyFont="1" applyAlignment="1">
      <alignment horizontal="centerContinuous"/>
    </xf>
    <xf numFmtId="164" fontId="7" fillId="0" borderId="22" xfId="0" applyNumberFormat="1" applyFont="1" applyBorder="1" applyAlignment="1">
      <alignment wrapText="1"/>
    </xf>
    <xf numFmtId="0" fontId="2" fillId="0" borderId="22" xfId="0" applyFont="1" applyBorder="1"/>
    <xf numFmtId="164" fontId="7" fillId="0" borderId="28" xfId="0" applyNumberFormat="1" applyFont="1" applyBorder="1" applyAlignment="1">
      <alignment horizontal="centerContinuous" wrapText="1"/>
    </xf>
    <xf numFmtId="164" fontId="2" fillId="0" borderId="29" xfId="0" applyNumberFormat="1" applyFont="1" applyBorder="1"/>
    <xf numFmtId="164" fontId="2" fillId="0" borderId="21" xfId="0" applyNumberFormat="1" applyFont="1" applyBorder="1"/>
    <xf numFmtId="164" fontId="7" fillId="0" borderId="28" xfId="0" applyNumberFormat="1" applyFont="1" applyBorder="1" applyAlignment="1">
      <alignment horizontal="centerContinuous"/>
    </xf>
    <xf numFmtId="164" fontId="2" fillId="0" borderId="15" xfId="0" applyNumberFormat="1" applyFont="1" applyBorder="1"/>
    <xf numFmtId="164" fontId="7" fillId="0" borderId="20" xfId="0" applyNumberFormat="1" applyFont="1" applyBorder="1" applyAlignment="1">
      <alignment horizontal="centerContinuous"/>
    </xf>
    <xf numFmtId="164" fontId="7" fillId="0" borderId="14" xfId="0" applyNumberFormat="1" applyFont="1" applyBorder="1" applyAlignment="1">
      <alignment horizontal="centerContinuous"/>
    </xf>
    <xf numFmtId="164" fontId="3" fillId="0" borderId="21" xfId="0" applyNumberFormat="1" applyFont="1" applyBorder="1"/>
    <xf numFmtId="164" fontId="3" fillId="0" borderId="12" xfId="0" applyNumberFormat="1" applyFont="1" applyBorder="1"/>
    <xf numFmtId="164" fontId="3" fillId="0" borderId="29" xfId="0" applyNumberFormat="1" applyFont="1" applyBorder="1"/>
    <xf numFmtId="164" fontId="3" fillId="0" borderId="15" xfId="0" applyNumberFormat="1" applyFont="1" applyBorder="1"/>
    <xf numFmtId="164" fontId="11" fillId="0" borderId="21" xfId="0" applyNumberFormat="1" applyFont="1" applyBorder="1"/>
    <xf numFmtId="164" fontId="11" fillId="0" borderId="29" xfId="0" applyNumberFormat="1" applyFont="1" applyBorder="1"/>
    <xf numFmtId="166" fontId="3" fillId="0" borderId="0" xfId="0" applyNumberFormat="1" applyFont="1"/>
    <xf numFmtId="164" fontId="13" fillId="0" borderId="0" xfId="0" applyNumberFormat="1" applyFont="1"/>
    <xf numFmtId="166" fontId="6" fillId="0" borderId="0" xfId="0" applyNumberFormat="1" applyFont="1"/>
    <xf numFmtId="164" fontId="7" fillId="0" borderId="30" xfId="0" applyNumberFormat="1" applyFont="1" applyBorder="1" applyAlignment="1">
      <alignment horizontal="centerContinuous"/>
    </xf>
    <xf numFmtId="164" fontId="2" fillId="0" borderId="30" xfId="0" applyNumberFormat="1" applyFont="1" applyBorder="1" applyAlignment="1">
      <alignment horizontal="centerContinuous"/>
    </xf>
    <xf numFmtId="10" fontId="6" fillId="0" borderId="0" xfId="1" applyNumberFormat="1" applyFont="1"/>
    <xf numFmtId="164" fontId="14" fillId="2" borderId="0" xfId="0" applyNumberFormat="1" applyFont="1" applyFill="1"/>
    <xf numFmtId="164" fontId="2" fillId="0" borderId="33" xfId="0" applyNumberFormat="1" applyFont="1" applyBorder="1"/>
    <xf numFmtId="164" fontId="2" fillId="0" borderId="34" xfId="0" applyNumberFormat="1" applyFont="1" applyBorder="1"/>
    <xf numFmtId="164" fontId="2" fillId="0" borderId="19" xfId="0" applyNumberFormat="1" applyFont="1" applyBorder="1"/>
    <xf numFmtId="10" fontId="6" fillId="0" borderId="0" xfId="1" applyNumberFormat="1" applyFont="1" applyBorder="1"/>
    <xf numFmtId="164" fontId="2" fillId="0" borderId="31" xfId="0" applyNumberFormat="1" applyFont="1" applyBorder="1"/>
    <xf numFmtId="164" fontId="2" fillId="0" borderId="17" xfId="0" applyNumberFormat="1" applyFont="1" applyBorder="1"/>
    <xf numFmtId="164" fontId="2" fillId="0" borderId="32" xfId="0" applyNumberFormat="1" applyFont="1" applyBorder="1"/>
    <xf numFmtId="166" fontId="15" fillId="0" borderId="0" xfId="0" applyNumberFormat="1" applyFont="1"/>
    <xf numFmtId="10" fontId="15" fillId="0" borderId="0" xfId="1" applyNumberFormat="1" applyFont="1" applyBorder="1"/>
    <xf numFmtId="10" fontId="15" fillId="0" borderId="0" xfId="1" applyNumberFormat="1" applyFont="1"/>
    <xf numFmtId="164" fontId="7" fillId="0" borderId="3" xfId="0" applyNumberFormat="1" applyFont="1" applyBorder="1"/>
    <xf numFmtId="164" fontId="16" fillId="0" borderId="0" xfId="0" applyNumberFormat="1" applyFont="1" applyAlignment="1">
      <alignment horizontal="left"/>
    </xf>
    <xf numFmtId="10" fontId="2" fillId="0" borderId="16" xfId="1" applyNumberFormat="1" applyFont="1" applyBorder="1"/>
    <xf numFmtId="10" fontId="2" fillId="0" borderId="31" xfId="1" applyNumberFormat="1" applyFont="1" applyBorder="1"/>
    <xf numFmtId="10" fontId="2" fillId="0" borderId="17" xfId="1" applyNumberFormat="1" applyFont="1" applyBorder="1"/>
    <xf numFmtId="10" fontId="2" fillId="0" borderId="32" xfId="1" applyNumberFormat="1" applyFont="1" applyBorder="1"/>
    <xf numFmtId="10" fontId="2" fillId="0" borderId="33" xfId="1" applyNumberFormat="1" applyFont="1" applyBorder="1"/>
    <xf numFmtId="10" fontId="7" fillId="0" borderId="3" xfId="1" applyNumberFormat="1" applyFont="1" applyBorder="1"/>
    <xf numFmtId="10" fontId="2" fillId="0" borderId="18" xfId="1" applyNumberFormat="1" applyFont="1" applyBorder="1"/>
    <xf numFmtId="10" fontId="2" fillId="0" borderId="34" xfId="1" applyNumberFormat="1" applyFont="1" applyBorder="1"/>
    <xf numFmtId="10" fontId="2" fillId="0" borderId="19" xfId="1" applyNumberFormat="1" applyFont="1" applyBorder="1"/>
    <xf numFmtId="164" fontId="3" fillId="0" borderId="20" xfId="0" applyNumberFormat="1" applyFont="1" applyBorder="1" applyAlignment="1">
      <alignment horizontal="right"/>
    </xf>
    <xf numFmtId="164" fontId="2" fillId="0" borderId="36" xfId="0" applyNumberFormat="1" applyFont="1" applyBorder="1"/>
    <xf numFmtId="164" fontId="2" fillId="0" borderId="37" xfId="0" applyNumberFormat="1" applyFont="1" applyBorder="1"/>
    <xf numFmtId="164" fontId="2" fillId="0" borderId="38" xfId="0" applyNumberFormat="1" applyFont="1" applyBorder="1"/>
    <xf numFmtId="164" fontId="2" fillId="0" borderId="35" xfId="0" applyNumberFormat="1" applyFont="1" applyBorder="1"/>
    <xf numFmtId="164" fontId="2" fillId="0" borderId="39" xfId="0" applyNumberFormat="1" applyFont="1" applyBorder="1"/>
    <xf numFmtId="164" fontId="2" fillId="0" borderId="40" xfId="0" applyNumberFormat="1" applyFont="1" applyBorder="1"/>
    <xf numFmtId="164" fontId="2" fillId="0" borderId="41" xfId="0" applyNumberFormat="1" applyFont="1" applyBorder="1"/>
    <xf numFmtId="164" fontId="2" fillId="0" borderId="42" xfId="0" applyNumberFormat="1" applyFont="1" applyBorder="1"/>
    <xf numFmtId="164" fontId="2" fillId="0" borderId="43" xfId="0" applyNumberFormat="1" applyFont="1" applyBorder="1"/>
    <xf numFmtId="164" fontId="2" fillId="0" borderId="44" xfId="0" applyNumberFormat="1" applyFont="1" applyBorder="1"/>
    <xf numFmtId="164" fontId="2" fillId="0" borderId="45" xfId="0" applyNumberFormat="1" applyFont="1" applyBorder="1"/>
    <xf numFmtId="164" fontId="2" fillId="0" borderId="46" xfId="0" applyNumberFormat="1" applyFont="1" applyBorder="1"/>
    <xf numFmtId="164" fontId="3" fillId="0" borderId="39" xfId="0" applyNumberFormat="1" applyFont="1" applyBorder="1"/>
    <xf numFmtId="164" fontId="3" fillId="0" borderId="40" xfId="0" applyNumberFormat="1" applyFont="1" applyBorder="1"/>
    <xf numFmtId="164" fontId="3" fillId="0" borderId="41" xfId="0" applyNumberFormat="1" applyFont="1" applyBorder="1"/>
    <xf numFmtId="164" fontId="3" fillId="0" borderId="42" xfId="0" applyNumberFormat="1" applyFont="1" applyBorder="1"/>
    <xf numFmtId="164" fontId="3" fillId="0" borderId="43" xfId="0" applyNumberFormat="1" applyFont="1" applyBorder="1"/>
    <xf numFmtId="164" fontId="3" fillId="0" borderId="44" xfId="0" applyNumberFormat="1" applyFont="1" applyBorder="1"/>
    <xf numFmtId="164" fontId="3" fillId="0" borderId="45" xfId="0" applyNumberFormat="1" applyFont="1" applyBorder="1"/>
    <xf numFmtId="164" fontId="3" fillId="0" borderId="46" xfId="0" applyNumberFormat="1" applyFont="1" applyBorder="1"/>
    <xf numFmtId="164" fontId="3" fillId="0" borderId="47" xfId="0" applyNumberFormat="1" applyFont="1" applyBorder="1"/>
    <xf numFmtId="164" fontId="3" fillId="0" borderId="48" xfId="0" applyNumberFormat="1" applyFont="1" applyBorder="1"/>
    <xf numFmtId="164" fontId="3" fillId="0" borderId="49" xfId="0" applyNumberFormat="1" applyFont="1" applyBorder="1"/>
    <xf numFmtId="164" fontId="2" fillId="2" borderId="20" xfId="0" applyNumberFormat="1" applyFont="1" applyFill="1" applyBorder="1" applyAlignment="1">
      <alignment horizontal="centerContinuous"/>
    </xf>
    <xf numFmtId="164" fontId="2" fillId="2" borderId="20" xfId="0" applyNumberFormat="1" applyFont="1" applyFill="1" applyBorder="1"/>
    <xf numFmtId="164" fontId="2" fillId="2" borderId="20" xfId="1" applyNumberFormat="1" applyFont="1" applyFill="1" applyBorder="1"/>
    <xf numFmtId="164" fontId="14" fillId="2" borderId="20" xfId="0" applyNumberFormat="1" applyFont="1" applyFill="1" applyBorder="1"/>
    <xf numFmtId="164" fontId="2" fillId="2" borderId="20" xfId="0" applyNumberFormat="1" applyFont="1" applyFill="1" applyBorder="1" applyAlignment="1">
      <alignment horizontal="left" vertical="center"/>
    </xf>
    <xf numFmtId="164" fontId="2" fillId="0" borderId="50" xfId="0" applyNumberFormat="1" applyFont="1" applyBorder="1"/>
    <xf numFmtId="164" fontId="2" fillId="0" borderId="29" xfId="0" applyNumberFormat="1" applyFont="1" applyBorder="1" applyAlignment="1">
      <alignment horizontal="right"/>
    </xf>
    <xf numFmtId="164" fontId="2" fillId="3" borderId="0" xfId="0" applyNumberFormat="1" applyFont="1" applyFill="1"/>
    <xf numFmtId="164" fontId="17" fillId="3" borderId="0" xfId="0" applyNumberFormat="1" applyFont="1" applyFill="1" applyAlignment="1">
      <alignment vertical="center"/>
    </xf>
    <xf numFmtId="164" fontId="18" fillId="3" borderId="0" xfId="0" applyNumberFormat="1" applyFont="1" applyFill="1"/>
    <xf numFmtId="164" fontId="18" fillId="0" borderId="0" xfId="0" applyNumberFormat="1" applyFont="1"/>
    <xf numFmtId="0" fontId="2" fillId="3" borderId="0" xfId="0" applyFont="1" applyFill="1"/>
    <xf numFmtId="0" fontId="13" fillId="3" borderId="0" xfId="0" applyFont="1" applyFill="1"/>
    <xf numFmtId="0" fontId="13" fillId="3" borderId="0" xfId="0" applyFont="1" applyFill="1" applyAlignment="1">
      <alignment vertical="center"/>
    </xf>
    <xf numFmtId="164" fontId="2" fillId="4" borderId="0" xfId="0" applyNumberFormat="1" applyFont="1" applyFill="1"/>
    <xf numFmtId="0" fontId="13" fillId="4" borderId="0" xfId="0" applyFont="1" applyFill="1"/>
    <xf numFmtId="164" fontId="2" fillId="3" borderId="51" xfId="0" applyNumberFormat="1" applyFont="1" applyFill="1" applyBorder="1"/>
    <xf numFmtId="164" fontId="17" fillId="3" borderId="51" xfId="0" applyNumberFormat="1" applyFont="1" applyFill="1" applyBorder="1" applyAlignment="1">
      <alignment vertical="center"/>
    </xf>
    <xf numFmtId="0" fontId="13" fillId="3" borderId="52" xfId="0" applyFont="1" applyFill="1" applyBorder="1"/>
    <xf numFmtId="0" fontId="19" fillId="3" borderId="51" xfId="0" applyFont="1" applyFill="1" applyBorder="1" applyAlignment="1">
      <alignment vertical="center"/>
    </xf>
    <xf numFmtId="0" fontId="13" fillId="3" borderId="51" xfId="0" applyFont="1" applyFill="1" applyBorder="1"/>
    <xf numFmtId="0" fontId="20" fillId="3" borderId="52" xfId="0" applyFont="1" applyFill="1" applyBorder="1"/>
    <xf numFmtId="0" fontId="20" fillId="3" borderId="0" xfId="0" applyFont="1" applyFill="1"/>
    <xf numFmtId="164" fontId="7" fillId="0" borderId="36" xfId="0" applyNumberFormat="1" applyFont="1" applyBorder="1"/>
    <xf numFmtId="164" fontId="7" fillId="0" borderId="37" xfId="0" applyNumberFormat="1" applyFont="1" applyBorder="1"/>
    <xf numFmtId="164" fontId="7" fillId="0" borderId="38" xfId="0" applyNumberFormat="1" applyFont="1" applyBorder="1"/>
    <xf numFmtId="0" fontId="19" fillId="3" borderId="51" xfId="0" applyFont="1" applyFill="1" applyBorder="1"/>
    <xf numFmtId="0" fontId="13" fillId="0" borderId="0" xfId="0" applyFont="1"/>
    <xf numFmtId="164" fontId="2" fillId="4" borderId="51" xfId="0" applyNumberFormat="1" applyFont="1" applyFill="1" applyBorder="1"/>
    <xf numFmtId="0" fontId="13" fillId="4" borderId="52" xfId="0" applyFont="1" applyFill="1" applyBorder="1"/>
    <xf numFmtId="0" fontId="21" fillId="3" borderId="0" xfId="0" applyFont="1" applyFill="1" applyAlignment="1">
      <alignment horizontal="left" wrapText="1"/>
    </xf>
    <xf numFmtId="164" fontId="2" fillId="0" borderId="0" xfId="0" applyNumberFormat="1" applyFont="1" applyAlignment="1">
      <alignment horizontal="right" vertical="center" textRotation="90"/>
    </xf>
    <xf numFmtId="0" fontId="0" fillId="0" borderId="0" xfId="0" applyAlignment="1">
      <alignment horizontal="right" vertical="center" textRotation="90"/>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noFill/>
            <a:ln>
              <a:noFill/>
            </a:ln>
            <a:effectLst/>
          </c:spPr>
          <c:invertIfNegative val="0"/>
          <c:cat>
            <c:strRef>
              <c:f>'Valuation Football Field'!$C$41:$C$44</c:f>
              <c:strCache>
                <c:ptCount val="4"/>
                <c:pt idx="0">
                  <c:v>Comparable Company Analysis</c:v>
                </c:pt>
                <c:pt idx="1">
                  <c:v>Precedent Transaction Analysis</c:v>
                </c:pt>
                <c:pt idx="2">
                  <c:v>Discounted Cash Flow</c:v>
                </c:pt>
                <c:pt idx="3">
                  <c:v>52-week High/Low</c:v>
                </c:pt>
              </c:strCache>
            </c:strRef>
          </c:cat>
          <c:val>
            <c:numRef>
              <c:f>'Valuation Football Field'!$E$41:$E$44</c:f>
              <c:numCache>
                <c:formatCode>#,##0.00;\(#,##0.00\);\ "-"</c:formatCode>
                <c:ptCount val="4"/>
                <c:pt idx="0">
                  <c:v>1929.341012783914</c:v>
                </c:pt>
                <c:pt idx="1">
                  <c:v>3941.9305338802674</c:v>
                </c:pt>
                <c:pt idx="2">
                  <c:v>1667.725098898823</c:v>
                </c:pt>
                <c:pt idx="3">
                  <c:v>1953.5</c:v>
                </c:pt>
              </c:numCache>
            </c:numRef>
          </c:val>
          <c:extLst>
            <c:ext xmlns:c16="http://schemas.microsoft.com/office/drawing/2014/chart" uri="{C3380CC4-5D6E-409C-BE32-E72D297353CC}">
              <c16:uniqueId val="{00000000-09B6-4040-B8CB-5B7CF894D9D6}"/>
            </c:ext>
          </c:extLst>
        </c:ser>
        <c:ser>
          <c:idx val="1"/>
          <c:order val="1"/>
          <c:spPr>
            <a:solidFill>
              <a:srgbClr val="132E57"/>
            </a:solidFill>
            <a:ln>
              <a:noFill/>
            </a:ln>
            <a:effectLst/>
          </c:spPr>
          <c:invertIfNegative val="0"/>
          <c:cat>
            <c:strRef>
              <c:f>'Valuation Football Field'!$C$41:$C$44</c:f>
              <c:strCache>
                <c:ptCount val="4"/>
                <c:pt idx="0">
                  <c:v>Comparable Company Analysis</c:v>
                </c:pt>
                <c:pt idx="1">
                  <c:v>Precedent Transaction Analysis</c:v>
                </c:pt>
                <c:pt idx="2">
                  <c:v>Discounted Cash Flow</c:v>
                </c:pt>
                <c:pt idx="3">
                  <c:v>52-week High/Low</c:v>
                </c:pt>
              </c:strCache>
            </c:strRef>
          </c:cat>
          <c:val>
            <c:numRef>
              <c:f>'Valuation Football Field'!$F$41:$F$44</c:f>
              <c:numCache>
                <c:formatCode>#,##0.00;\(#,##0.00\);\ "-"</c:formatCode>
                <c:ptCount val="4"/>
                <c:pt idx="0">
                  <c:v>2399.1895827818407</c:v>
                </c:pt>
                <c:pt idx="1">
                  <c:v>1795.4252921695102</c:v>
                </c:pt>
                <c:pt idx="2">
                  <c:v>5532.8558943763437</c:v>
                </c:pt>
                <c:pt idx="3">
                  <c:v>1435.4</c:v>
                </c:pt>
              </c:numCache>
            </c:numRef>
          </c:val>
          <c:extLst>
            <c:ext xmlns:c16="http://schemas.microsoft.com/office/drawing/2014/chart" uri="{C3380CC4-5D6E-409C-BE32-E72D297353CC}">
              <c16:uniqueId val="{00000001-09B6-4040-B8CB-5B7CF894D9D6}"/>
            </c:ext>
          </c:extLst>
        </c:ser>
        <c:ser>
          <c:idx val="2"/>
          <c:order val="2"/>
          <c:spPr>
            <a:noFill/>
            <a:ln>
              <a:noFill/>
            </a:ln>
            <a:effectLst/>
          </c:spPr>
          <c:invertIfNegative val="0"/>
          <c:cat>
            <c:strRef>
              <c:f>'Valuation Football Field'!$C$41:$C$44</c:f>
              <c:strCache>
                <c:ptCount val="4"/>
                <c:pt idx="0">
                  <c:v>Comparable Company Analysis</c:v>
                </c:pt>
                <c:pt idx="1">
                  <c:v>Precedent Transaction Analysis</c:v>
                </c:pt>
                <c:pt idx="2">
                  <c:v>Discounted Cash Flow</c:v>
                </c:pt>
                <c:pt idx="3">
                  <c:v>52-week High/Low</c:v>
                </c:pt>
              </c:strCache>
            </c:strRef>
          </c:cat>
          <c:val>
            <c:numRef>
              <c:f>'Valuation Football Field'!$G$41:$G$44</c:f>
              <c:numCache>
                <c:formatCode>#,##0.00;\(#,##0.00\);\ "-"</c:formatCode>
                <c:ptCount val="4"/>
                <c:pt idx="0">
                  <c:v>4328.530595565755</c:v>
                </c:pt>
                <c:pt idx="1">
                  <c:v>5737.3558260497775</c:v>
                </c:pt>
                <c:pt idx="2">
                  <c:v>7200.5809932751663</c:v>
                </c:pt>
                <c:pt idx="3">
                  <c:v>3388.9</c:v>
                </c:pt>
              </c:numCache>
            </c:numRef>
          </c:val>
          <c:extLst>
            <c:ext xmlns:c16="http://schemas.microsoft.com/office/drawing/2014/chart" uri="{C3380CC4-5D6E-409C-BE32-E72D297353CC}">
              <c16:uniqueId val="{00000002-09B6-4040-B8CB-5B7CF894D9D6}"/>
            </c:ext>
          </c:extLst>
        </c:ser>
        <c:dLbls>
          <c:showLegendKey val="0"/>
          <c:showVal val="0"/>
          <c:showCatName val="0"/>
          <c:showSerName val="0"/>
          <c:showPercent val="0"/>
          <c:showBubbleSize val="0"/>
        </c:dLbls>
        <c:gapWidth val="219"/>
        <c:overlap val="100"/>
        <c:axId val="1218979952"/>
        <c:axId val="1218978512"/>
      </c:barChart>
      <c:catAx>
        <c:axId val="1218979952"/>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800" b="1" i="0" u="none" strike="noStrike" kern="1200" baseline="0">
                <a:ln>
                  <a:noFill/>
                </a:ln>
                <a:solidFill>
                  <a:schemeClr val="tx1"/>
                </a:solidFill>
                <a:latin typeface="Montserrat Medium" panose="00000600000000000000" pitchFamily="2" charset="0"/>
                <a:ea typeface="+mn-ea"/>
                <a:cs typeface="+mn-cs"/>
              </a:defRPr>
            </a:pPr>
            <a:endParaRPr lang="en-US"/>
          </a:p>
        </c:txPr>
        <c:crossAx val="1218978512"/>
        <c:crossesAt val="0"/>
        <c:auto val="1"/>
        <c:lblAlgn val="ctr"/>
        <c:lblOffset val="100"/>
        <c:noMultiLvlLbl val="0"/>
      </c:catAx>
      <c:valAx>
        <c:axId val="1218978512"/>
        <c:scaling>
          <c:orientation val="minMax"/>
          <c:max val="13000"/>
          <c:min val="500"/>
        </c:scaling>
        <c:delete val="0"/>
        <c:axPos val="l"/>
        <c:numFmt formatCode="#,##0.00;\(#,##0.00\);\ &quot;-&quot;"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ln>
                  <a:noFill/>
                </a:ln>
                <a:solidFill>
                  <a:schemeClr val="tx1">
                    <a:lumMod val="65000"/>
                    <a:lumOff val="35000"/>
                  </a:schemeClr>
                </a:solidFill>
                <a:latin typeface="Montserrat Medium" panose="00000600000000000000" pitchFamily="2" charset="0"/>
                <a:ea typeface="+mn-ea"/>
                <a:cs typeface="+mn-cs"/>
              </a:defRPr>
            </a:pPr>
            <a:endParaRPr lang="en-US"/>
          </a:p>
        </c:txPr>
        <c:crossAx val="1218979952"/>
        <c:crosses val="autoZero"/>
        <c:crossBetween val="between"/>
        <c:majorUnit val="200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12700" cap="flat" cmpd="sng" algn="ctr">
      <a:solidFill>
        <a:schemeClr val="accent3">
          <a:lumMod val="75000"/>
        </a:schemeClr>
      </a:solidFill>
      <a:round/>
    </a:ln>
    <a:effectLst/>
  </c:spPr>
  <c:txPr>
    <a:bodyPr/>
    <a:lstStyle/>
    <a:p>
      <a:pPr>
        <a:defRPr>
          <a:ln>
            <a:solidFill>
              <a:sysClr val="windowText" lastClr="000000"/>
            </a:solidFill>
          </a:ln>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43" fmlaLink="$D$14" fmlaRange="$T$13:$T$15" noThreeD="1" sel="2" val="0"/>
</file>

<file path=xl/ctrlProps/ctrlProp2.xml><?xml version="1.0" encoding="utf-8"?>
<formControlPr xmlns="http://schemas.microsoft.com/office/spreadsheetml/2009/9/main" objectType="Drop" dropStyle="combo" dx="43" fmlaLink="'Cover Page'!$D$14" fmlaRange="'Cover Page'!$T$13:$T$15" noThreeD="1" sel="2" val="0"/>
</file>

<file path=xl/ctrlProps/ctrlProp3.xml><?xml version="1.0" encoding="utf-8"?>
<formControlPr xmlns="http://schemas.microsoft.com/office/spreadsheetml/2009/9/main" objectType="Drop" dropStyle="combo" dx="43" fmlaLink="'Cover Page'!$D$14" fmlaRange="'Cover Page'!$T$13:$T$15" noThreeD="1" sel="2" val="0"/>
</file>

<file path=xl/ctrlProps/ctrlProp4.xml><?xml version="1.0" encoding="utf-8"?>
<formControlPr xmlns="http://schemas.microsoft.com/office/spreadsheetml/2009/9/main" objectType="Drop" dropStyle="combo" dx="43" fmlaLink="'Cover Page'!$D$14" fmlaRange="'Cover Page'!$T$13:$T$15" noThreeD="1" sel="2" val="0"/>
</file>

<file path=xl/ctrlProps/ctrlProp5.xml><?xml version="1.0" encoding="utf-8"?>
<formControlPr xmlns="http://schemas.microsoft.com/office/spreadsheetml/2009/9/main" objectType="Drop" dropStyle="combo" dx="43" fmlaLink="'Cover Page'!$D$14" fmlaRange="'Cover Page'!$T$13:$T$15" noThreeD="1" sel="2" val="0"/>
</file>

<file path=xl/ctrlProps/ctrlProp6.xml><?xml version="1.0" encoding="utf-8"?>
<formControlPr xmlns="http://schemas.microsoft.com/office/spreadsheetml/2009/9/main" objectType="Drop" dropStyle="combo" dx="43" fmlaLink="'Cover Page'!$D$14" fmlaRange="'Cover Page'!$T$13:$T$15" noThreeD="1" sel="2" val="0"/>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766233</xdr:colOff>
          <xdr:row>14</xdr:row>
          <xdr:rowOff>0</xdr:rowOff>
        </xdr:to>
        <xdr:sp macro="" textlink="">
          <xdr:nvSpPr>
            <xdr:cNvPr id="8193" name="Drop Down 1" hidden="1">
              <a:extLst>
                <a:ext uri="{63B3BB69-23CF-44E3-9099-C40C66FF867C}">
                  <a14:compatExt spid="_x0000_s8193"/>
                </a:ext>
                <a:ext uri="{FF2B5EF4-FFF2-40B4-BE49-F238E27FC236}">
                  <a16:creationId xmlns:a16="http://schemas.microsoft.com/office/drawing/2014/main" id="{00000000-0008-0000-0000-000001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262469</xdr:colOff>
      <xdr:row>0</xdr:row>
      <xdr:rowOff>0</xdr:rowOff>
    </xdr:from>
    <xdr:to>
      <xdr:col>2</xdr:col>
      <xdr:colOff>4121020</xdr:colOff>
      <xdr:row>1</xdr:row>
      <xdr:rowOff>0</xdr:rowOff>
    </xdr:to>
    <xdr:pic>
      <xdr:nvPicPr>
        <xdr:cNvPr id="5" name="Picture 4">
          <a:extLst>
            <a:ext uri="{FF2B5EF4-FFF2-40B4-BE49-F238E27FC236}">
              <a16:creationId xmlns:a16="http://schemas.microsoft.com/office/drawing/2014/main" id="{6E88889C-7EB5-4121-837E-E79A500B669E}"/>
            </a:ext>
          </a:extLst>
        </xdr:cNvPr>
        <xdr:cNvPicPr>
          <a:picLocks noChangeAspect="1"/>
        </xdr:cNvPicPr>
      </xdr:nvPicPr>
      <xdr:blipFill>
        <a:blip xmlns:r="http://schemas.openxmlformats.org/officeDocument/2006/relationships" r:embed="rId1">
          <a:alphaModFix amt="70000"/>
          <a:extLst>
            <a:ext uri="{28A0092B-C50C-407E-A947-70E740481C1C}">
              <a14:useLocalDpi xmlns:a14="http://schemas.microsoft.com/office/drawing/2010/main" val="0"/>
            </a:ext>
          </a:extLst>
        </a:blip>
        <a:stretch>
          <a:fillRect/>
        </a:stretch>
      </xdr:blipFill>
      <xdr:spPr>
        <a:xfrm>
          <a:off x="262469" y="0"/>
          <a:ext cx="5153625" cy="1371600"/>
        </a:xfrm>
        <a:prstGeom prst="rect">
          <a:avLst/>
        </a:prstGeom>
      </xdr:spPr>
    </xdr:pic>
    <xdr:clientData/>
  </xdr:twoCellAnchor>
  <xdr:twoCellAnchor>
    <xdr:from>
      <xdr:col>2</xdr:col>
      <xdr:colOff>4714522</xdr:colOff>
      <xdr:row>0</xdr:row>
      <xdr:rowOff>0</xdr:rowOff>
    </xdr:from>
    <xdr:to>
      <xdr:col>3</xdr:col>
      <xdr:colOff>0</xdr:colOff>
      <xdr:row>0</xdr:row>
      <xdr:rowOff>1299633</xdr:rowOff>
    </xdr:to>
    <xdr:sp macro="" textlink="">
      <xdr:nvSpPr>
        <xdr:cNvPr id="6" name="Oval 5">
          <a:extLst>
            <a:ext uri="{FF2B5EF4-FFF2-40B4-BE49-F238E27FC236}">
              <a16:creationId xmlns:a16="http://schemas.microsoft.com/office/drawing/2014/main" id="{542B282E-7930-4E50-B3C3-20D15AB9F34A}"/>
            </a:ext>
          </a:extLst>
        </xdr:cNvPr>
        <xdr:cNvSpPr/>
      </xdr:nvSpPr>
      <xdr:spPr>
        <a:xfrm>
          <a:off x="6005689" y="0"/>
          <a:ext cx="1268589" cy="1299633"/>
        </a:xfrm>
        <a:prstGeom prst="ellipse">
          <a:avLst/>
        </a:prstGeom>
        <a:blipFill dpi="0" rotWithShape="1">
          <a:blip xmlns:r="http://schemas.openxmlformats.org/officeDocument/2006/relationships" r:embed="rId2" cstate="print">
            <a:extLst>
              <a:ext uri="{28A0092B-C50C-407E-A947-70E740481C1C}">
                <a14:useLocalDpi xmlns:a14="http://schemas.microsoft.com/office/drawing/2010/main" val="0"/>
              </a:ext>
            </a:extLst>
          </a:blip>
          <a:srcRect/>
          <a:stretch>
            <a:fillRect l="1339" t="-1954" r="-1673" b="-15310"/>
          </a:stretch>
        </a:blip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4</xdr:col>
      <xdr:colOff>0</xdr:colOff>
      <xdr:row>0</xdr:row>
      <xdr:rowOff>886177</xdr:rowOff>
    </xdr:from>
    <xdr:to>
      <xdr:col>8</xdr:col>
      <xdr:colOff>615950</xdr:colOff>
      <xdr:row>1</xdr:row>
      <xdr:rowOff>0</xdr:rowOff>
    </xdr:to>
    <xdr:sp macro="" textlink="">
      <xdr:nvSpPr>
        <xdr:cNvPr id="7" name="TextBox 6">
          <a:extLst>
            <a:ext uri="{FF2B5EF4-FFF2-40B4-BE49-F238E27FC236}">
              <a16:creationId xmlns:a16="http://schemas.microsoft.com/office/drawing/2014/main" id="{CD236B9E-185F-4FAA-A04B-46C88B5FFB64}"/>
            </a:ext>
          </a:extLst>
        </xdr:cNvPr>
        <xdr:cNvSpPr txBox="1"/>
      </xdr:nvSpPr>
      <xdr:spPr>
        <a:xfrm>
          <a:off x="8205612" y="886177"/>
          <a:ext cx="4362450" cy="482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800">
              <a:solidFill>
                <a:schemeClr val="bg1"/>
              </a:solidFill>
              <a:latin typeface="Copperplate Gothic Light" panose="020E0507020206020404" pitchFamily="34" charset="0"/>
            </a:rPr>
            <a:t>Projects</a:t>
          </a: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0.12827</cdr:x>
      <cdr:y>0.88914</cdr:y>
    </cdr:from>
    <cdr:to>
      <cdr:x>0.93148</cdr:x>
      <cdr:y>0.88914</cdr:y>
    </cdr:to>
    <cdr:cxnSp macro="">
      <cdr:nvCxnSpPr>
        <cdr:cNvPr id="4" name="Straight Connector 3">
          <a:extLst xmlns:a="http://schemas.openxmlformats.org/drawingml/2006/main">
            <a:ext uri="{FF2B5EF4-FFF2-40B4-BE49-F238E27FC236}">
              <a16:creationId xmlns:a16="http://schemas.microsoft.com/office/drawing/2014/main" id="{F2D1A0CB-4DB9-167E-A5FF-0828D749C914}"/>
            </a:ext>
          </a:extLst>
        </cdr:cNvPr>
        <cdr:cNvCxnSpPr/>
      </cdr:nvCxnSpPr>
      <cdr:spPr>
        <a:xfrm xmlns:a="http://schemas.openxmlformats.org/drawingml/2006/main">
          <a:off x="1646649" y="5847697"/>
          <a:ext cx="10311102" cy="0"/>
        </a:xfrm>
        <a:prstGeom xmlns:a="http://schemas.openxmlformats.org/drawingml/2006/main" prst="line">
          <a:avLst/>
        </a:prstGeom>
        <a:ln xmlns:a="http://schemas.openxmlformats.org/drawingml/2006/main" w="6350">
          <a:solidFill>
            <a:schemeClr val="accent3">
              <a:lumMod val="75000"/>
            </a:schemeClr>
          </a:solidFill>
          <a:prstDash val="soli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xml><?xml version="1.0" encoding="utf-8"?>
<xdr:wsDr xmlns:xdr="http://schemas.openxmlformats.org/drawingml/2006/spreadsheetDrawing" xmlns:a="http://schemas.openxmlformats.org/drawingml/2006/main">
  <xdr:twoCellAnchor editAs="oneCell">
    <xdr:from>
      <xdr:col>0</xdr:col>
      <xdr:colOff>262469</xdr:colOff>
      <xdr:row>0</xdr:row>
      <xdr:rowOff>0</xdr:rowOff>
    </xdr:from>
    <xdr:to>
      <xdr:col>5</xdr:col>
      <xdr:colOff>619727</xdr:colOff>
      <xdr:row>1</xdr:row>
      <xdr:rowOff>4232</xdr:rowOff>
    </xdr:to>
    <xdr:pic>
      <xdr:nvPicPr>
        <xdr:cNvPr id="2" name="Picture 1">
          <a:extLst>
            <a:ext uri="{FF2B5EF4-FFF2-40B4-BE49-F238E27FC236}">
              <a16:creationId xmlns:a16="http://schemas.microsoft.com/office/drawing/2014/main" id="{F813D24B-55B2-4277-B415-5A471035E059}"/>
            </a:ext>
          </a:extLst>
        </xdr:cNvPr>
        <xdr:cNvPicPr>
          <a:picLocks noChangeAspect="1"/>
        </xdr:cNvPicPr>
      </xdr:nvPicPr>
      <xdr:blipFill>
        <a:blip xmlns:r="http://schemas.openxmlformats.org/officeDocument/2006/relationships" r:embed="rId1">
          <a:alphaModFix amt="70000"/>
          <a:extLst>
            <a:ext uri="{28A0092B-C50C-407E-A947-70E740481C1C}">
              <a14:useLocalDpi xmlns:a14="http://schemas.microsoft.com/office/drawing/2010/main" val="0"/>
            </a:ext>
          </a:extLst>
        </a:blip>
        <a:stretch>
          <a:fillRect/>
        </a:stretch>
      </xdr:blipFill>
      <xdr:spPr>
        <a:xfrm>
          <a:off x="262469" y="0"/>
          <a:ext cx="5153625" cy="137583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0</xdr:colOff>
          <xdr:row>5</xdr:row>
          <xdr:rowOff>0</xdr:rowOff>
        </xdr:from>
        <xdr:to>
          <xdr:col>4</xdr:col>
          <xdr:colOff>0</xdr:colOff>
          <xdr:row>6</xdr:row>
          <xdr:rowOff>0</xdr:rowOff>
        </xdr:to>
        <xdr:sp macro="" textlink="">
          <xdr:nvSpPr>
            <xdr:cNvPr id="1027" name="Drop Down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6</xdr:col>
      <xdr:colOff>211667</xdr:colOff>
      <xdr:row>0</xdr:row>
      <xdr:rowOff>38100</xdr:rowOff>
    </xdr:from>
    <xdr:to>
      <xdr:col>7</xdr:col>
      <xdr:colOff>541867</xdr:colOff>
      <xdr:row>0</xdr:row>
      <xdr:rowOff>1337733</xdr:rowOff>
    </xdr:to>
    <xdr:sp macro="" textlink="">
      <xdr:nvSpPr>
        <xdr:cNvPr id="3" name="Oval 2">
          <a:extLst>
            <a:ext uri="{FF2B5EF4-FFF2-40B4-BE49-F238E27FC236}">
              <a16:creationId xmlns:a16="http://schemas.microsoft.com/office/drawing/2014/main" id="{18C4B125-0A83-054F-9434-BB06E5AB89BC}"/>
            </a:ext>
          </a:extLst>
        </xdr:cNvPr>
        <xdr:cNvSpPr/>
      </xdr:nvSpPr>
      <xdr:spPr>
        <a:xfrm>
          <a:off x="5858934" y="38100"/>
          <a:ext cx="1265766" cy="1299633"/>
        </a:xfrm>
        <a:prstGeom prst="ellipse">
          <a:avLst/>
        </a:prstGeom>
        <a:blipFill dpi="0" rotWithShape="1">
          <a:blip xmlns:r="http://schemas.openxmlformats.org/officeDocument/2006/relationships" r:embed="rId2" cstate="print">
            <a:extLst>
              <a:ext uri="{28A0092B-C50C-407E-A947-70E740481C1C}">
                <a14:useLocalDpi xmlns:a14="http://schemas.microsoft.com/office/drawing/2010/main" val="0"/>
              </a:ext>
            </a:extLst>
          </a:blip>
          <a:srcRect/>
          <a:stretch>
            <a:fillRect l="1339" t="-1954" r="-1673" b="-15310"/>
          </a:stretch>
        </a:blip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7</xdr:col>
      <xdr:colOff>933450</xdr:colOff>
      <xdr:row>0</xdr:row>
      <xdr:rowOff>863600</xdr:rowOff>
    </xdr:from>
    <xdr:to>
      <xdr:col>12</xdr:col>
      <xdr:colOff>469900</xdr:colOff>
      <xdr:row>0</xdr:row>
      <xdr:rowOff>1346201</xdr:rowOff>
    </xdr:to>
    <xdr:sp macro="" textlink="">
      <xdr:nvSpPr>
        <xdr:cNvPr id="4" name="TextBox 3">
          <a:extLst>
            <a:ext uri="{FF2B5EF4-FFF2-40B4-BE49-F238E27FC236}">
              <a16:creationId xmlns:a16="http://schemas.microsoft.com/office/drawing/2014/main" id="{1FEF3084-598D-02AE-BACB-1CB968771DDE}"/>
            </a:ext>
          </a:extLst>
        </xdr:cNvPr>
        <xdr:cNvSpPr txBox="1"/>
      </xdr:nvSpPr>
      <xdr:spPr>
        <a:xfrm>
          <a:off x="7516283" y="863600"/>
          <a:ext cx="4353984" cy="482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800">
              <a:solidFill>
                <a:schemeClr val="bg1"/>
              </a:solidFill>
              <a:latin typeface="Copperplate Gothic Light" panose="020E0507020206020404" pitchFamily="34" charset="0"/>
            </a:rPr>
            <a:t>Projects</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xdr:row>
          <xdr:rowOff>0</xdr:rowOff>
        </xdr:from>
        <xdr:to>
          <xdr:col>4</xdr:col>
          <xdr:colOff>0</xdr:colOff>
          <xdr:row>2</xdr:row>
          <xdr:rowOff>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6</xdr:col>
      <xdr:colOff>211667</xdr:colOff>
      <xdr:row>0</xdr:row>
      <xdr:rowOff>38100</xdr:rowOff>
    </xdr:from>
    <xdr:to>
      <xdr:col>7</xdr:col>
      <xdr:colOff>541867</xdr:colOff>
      <xdr:row>0</xdr:row>
      <xdr:rowOff>1337733</xdr:rowOff>
    </xdr:to>
    <xdr:sp macro="" textlink="">
      <xdr:nvSpPr>
        <xdr:cNvPr id="10" name="Oval 9">
          <a:extLst>
            <a:ext uri="{FF2B5EF4-FFF2-40B4-BE49-F238E27FC236}">
              <a16:creationId xmlns:a16="http://schemas.microsoft.com/office/drawing/2014/main" id="{16422043-2CC7-4000-877F-EBCA12A18D2B}"/>
            </a:ext>
          </a:extLst>
        </xdr:cNvPr>
        <xdr:cNvSpPr/>
      </xdr:nvSpPr>
      <xdr:spPr>
        <a:xfrm>
          <a:off x="5858934" y="38100"/>
          <a:ext cx="1265766" cy="1299633"/>
        </a:xfrm>
        <a:prstGeom prst="ellipse">
          <a:avLst/>
        </a:prstGeom>
        <a:blipFill dpi="0" rotWithShape="1">
          <a:blip xmlns:r="http://schemas.openxmlformats.org/officeDocument/2006/relationships" r:embed="rId1" cstate="print">
            <a:extLst>
              <a:ext uri="{28A0092B-C50C-407E-A947-70E740481C1C}">
                <a14:useLocalDpi xmlns:a14="http://schemas.microsoft.com/office/drawing/2010/main" val="0"/>
              </a:ext>
            </a:extLst>
          </a:blip>
          <a:srcRect/>
          <a:stretch>
            <a:fillRect l="1339" t="-1954" r="-1673" b="-15310"/>
          </a:stretch>
        </a:blip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7</xdr:col>
      <xdr:colOff>933450</xdr:colOff>
      <xdr:row>0</xdr:row>
      <xdr:rowOff>863600</xdr:rowOff>
    </xdr:from>
    <xdr:to>
      <xdr:col>12</xdr:col>
      <xdr:colOff>469900</xdr:colOff>
      <xdr:row>0</xdr:row>
      <xdr:rowOff>1346201</xdr:rowOff>
    </xdr:to>
    <xdr:sp macro="" textlink="">
      <xdr:nvSpPr>
        <xdr:cNvPr id="11" name="TextBox 10">
          <a:extLst>
            <a:ext uri="{FF2B5EF4-FFF2-40B4-BE49-F238E27FC236}">
              <a16:creationId xmlns:a16="http://schemas.microsoft.com/office/drawing/2014/main" id="{7A61EE19-623E-4B32-B8F8-80B46D29795F}"/>
            </a:ext>
          </a:extLst>
        </xdr:cNvPr>
        <xdr:cNvSpPr txBox="1"/>
      </xdr:nvSpPr>
      <xdr:spPr>
        <a:xfrm>
          <a:off x="7516283" y="863600"/>
          <a:ext cx="4353984" cy="482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800">
              <a:solidFill>
                <a:schemeClr val="bg1"/>
              </a:solidFill>
              <a:latin typeface="Copperplate Gothic Light" panose="020E0507020206020404" pitchFamily="34" charset="0"/>
            </a:rPr>
            <a:t>Projects</a:t>
          </a:r>
        </a:p>
      </xdr:txBody>
    </xdr:sp>
    <xdr:clientData/>
  </xdr:twoCellAnchor>
  <xdr:twoCellAnchor editAs="oneCell">
    <xdr:from>
      <xdr:col>0</xdr:col>
      <xdr:colOff>232843</xdr:colOff>
      <xdr:row>0</xdr:row>
      <xdr:rowOff>12699</xdr:rowOff>
    </xdr:from>
    <xdr:to>
      <xdr:col>5</xdr:col>
      <xdr:colOff>590101</xdr:colOff>
      <xdr:row>1</xdr:row>
      <xdr:rowOff>33864</xdr:rowOff>
    </xdr:to>
    <xdr:pic>
      <xdr:nvPicPr>
        <xdr:cNvPr id="12" name="Picture 11">
          <a:extLst>
            <a:ext uri="{FF2B5EF4-FFF2-40B4-BE49-F238E27FC236}">
              <a16:creationId xmlns:a16="http://schemas.microsoft.com/office/drawing/2014/main" id="{089AB9BC-A996-4C87-900F-241A4F36AE19}"/>
            </a:ext>
          </a:extLst>
        </xdr:cNvPr>
        <xdr:cNvPicPr>
          <a:picLocks noChangeAspect="1"/>
        </xdr:cNvPicPr>
      </xdr:nvPicPr>
      <xdr:blipFill>
        <a:blip xmlns:r="http://schemas.openxmlformats.org/officeDocument/2006/relationships" r:embed="rId2">
          <a:alphaModFix amt="70000"/>
          <a:extLst>
            <a:ext uri="{28A0092B-C50C-407E-A947-70E740481C1C}">
              <a14:useLocalDpi xmlns:a14="http://schemas.microsoft.com/office/drawing/2010/main" val="0"/>
            </a:ext>
          </a:extLst>
        </a:blip>
        <a:stretch>
          <a:fillRect/>
        </a:stretch>
      </xdr:blipFill>
      <xdr:spPr>
        <a:xfrm>
          <a:off x="232843" y="12699"/>
          <a:ext cx="5153625" cy="137583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211667</xdr:colOff>
      <xdr:row>0</xdr:row>
      <xdr:rowOff>38100</xdr:rowOff>
    </xdr:from>
    <xdr:to>
      <xdr:col>7</xdr:col>
      <xdr:colOff>541867</xdr:colOff>
      <xdr:row>0</xdr:row>
      <xdr:rowOff>1337733</xdr:rowOff>
    </xdr:to>
    <xdr:sp macro="" textlink="">
      <xdr:nvSpPr>
        <xdr:cNvPr id="6" name="Oval 5">
          <a:extLst>
            <a:ext uri="{FF2B5EF4-FFF2-40B4-BE49-F238E27FC236}">
              <a16:creationId xmlns:a16="http://schemas.microsoft.com/office/drawing/2014/main" id="{98FD831B-9AB1-4B27-A047-8D5D9251503C}"/>
            </a:ext>
          </a:extLst>
        </xdr:cNvPr>
        <xdr:cNvSpPr/>
      </xdr:nvSpPr>
      <xdr:spPr>
        <a:xfrm>
          <a:off x="5858934" y="38100"/>
          <a:ext cx="1265766" cy="1299633"/>
        </a:xfrm>
        <a:prstGeom prst="ellipse">
          <a:avLst/>
        </a:prstGeom>
        <a:blipFill dpi="0" rotWithShape="1">
          <a:blip xmlns:r="http://schemas.openxmlformats.org/officeDocument/2006/relationships" r:embed="rId1" cstate="print">
            <a:extLst>
              <a:ext uri="{28A0092B-C50C-407E-A947-70E740481C1C}">
                <a14:useLocalDpi xmlns:a14="http://schemas.microsoft.com/office/drawing/2010/main" val="0"/>
              </a:ext>
            </a:extLst>
          </a:blip>
          <a:srcRect/>
          <a:stretch>
            <a:fillRect l="1339" t="-1954" r="-1673" b="-15310"/>
          </a:stretch>
        </a:blip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7</xdr:col>
      <xdr:colOff>933450</xdr:colOff>
      <xdr:row>0</xdr:row>
      <xdr:rowOff>863600</xdr:rowOff>
    </xdr:from>
    <xdr:to>
      <xdr:col>12</xdr:col>
      <xdr:colOff>469900</xdr:colOff>
      <xdr:row>0</xdr:row>
      <xdr:rowOff>1346201</xdr:rowOff>
    </xdr:to>
    <xdr:sp macro="" textlink="">
      <xdr:nvSpPr>
        <xdr:cNvPr id="7" name="TextBox 6">
          <a:extLst>
            <a:ext uri="{FF2B5EF4-FFF2-40B4-BE49-F238E27FC236}">
              <a16:creationId xmlns:a16="http://schemas.microsoft.com/office/drawing/2014/main" id="{382E858B-7A20-4ADA-B047-ABD4C3A55E6E}"/>
            </a:ext>
          </a:extLst>
        </xdr:cNvPr>
        <xdr:cNvSpPr txBox="1"/>
      </xdr:nvSpPr>
      <xdr:spPr>
        <a:xfrm>
          <a:off x="7516283" y="863600"/>
          <a:ext cx="4353984" cy="482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800">
              <a:solidFill>
                <a:schemeClr val="bg1"/>
              </a:solidFill>
              <a:latin typeface="Copperplate Gothic Light" panose="020E0507020206020404" pitchFamily="34" charset="0"/>
            </a:rPr>
            <a:t>Projects</a:t>
          </a:r>
        </a:p>
      </xdr:txBody>
    </xdr:sp>
    <xdr:clientData/>
  </xdr:twoCellAnchor>
  <xdr:twoCellAnchor editAs="oneCell">
    <xdr:from>
      <xdr:col>0</xdr:col>
      <xdr:colOff>287873</xdr:colOff>
      <xdr:row>0</xdr:row>
      <xdr:rowOff>0</xdr:rowOff>
    </xdr:from>
    <xdr:to>
      <xdr:col>5</xdr:col>
      <xdr:colOff>645131</xdr:colOff>
      <xdr:row>1</xdr:row>
      <xdr:rowOff>29632</xdr:rowOff>
    </xdr:to>
    <xdr:pic>
      <xdr:nvPicPr>
        <xdr:cNvPr id="11" name="Picture 10">
          <a:extLst>
            <a:ext uri="{FF2B5EF4-FFF2-40B4-BE49-F238E27FC236}">
              <a16:creationId xmlns:a16="http://schemas.microsoft.com/office/drawing/2014/main" id="{7F9814B0-C771-4D58-A0F6-0D36FF6C395A}"/>
            </a:ext>
          </a:extLst>
        </xdr:cNvPr>
        <xdr:cNvPicPr>
          <a:picLocks noChangeAspect="1"/>
        </xdr:cNvPicPr>
      </xdr:nvPicPr>
      <xdr:blipFill>
        <a:blip xmlns:r="http://schemas.openxmlformats.org/officeDocument/2006/relationships" r:embed="rId2">
          <a:alphaModFix amt="70000"/>
          <a:extLst>
            <a:ext uri="{28A0092B-C50C-407E-A947-70E740481C1C}">
              <a14:useLocalDpi xmlns:a14="http://schemas.microsoft.com/office/drawing/2010/main" val="0"/>
            </a:ext>
          </a:extLst>
        </a:blip>
        <a:stretch>
          <a:fillRect/>
        </a:stretch>
      </xdr:blipFill>
      <xdr:spPr>
        <a:xfrm>
          <a:off x="287873" y="0"/>
          <a:ext cx="5153625" cy="143933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6</xdr:col>
      <xdr:colOff>211667</xdr:colOff>
      <xdr:row>0</xdr:row>
      <xdr:rowOff>38100</xdr:rowOff>
    </xdr:from>
    <xdr:to>
      <xdr:col>7</xdr:col>
      <xdr:colOff>541867</xdr:colOff>
      <xdr:row>0</xdr:row>
      <xdr:rowOff>1337733</xdr:rowOff>
    </xdr:to>
    <xdr:sp macro="" textlink="">
      <xdr:nvSpPr>
        <xdr:cNvPr id="2" name="Oval 1">
          <a:extLst>
            <a:ext uri="{FF2B5EF4-FFF2-40B4-BE49-F238E27FC236}">
              <a16:creationId xmlns:a16="http://schemas.microsoft.com/office/drawing/2014/main" id="{1610E390-05CC-4BE2-9D1F-8AA9D3CEF7E0}"/>
            </a:ext>
          </a:extLst>
        </xdr:cNvPr>
        <xdr:cNvSpPr/>
      </xdr:nvSpPr>
      <xdr:spPr>
        <a:xfrm>
          <a:off x="5858934" y="38100"/>
          <a:ext cx="1265766" cy="1299633"/>
        </a:xfrm>
        <a:prstGeom prst="ellipse">
          <a:avLst/>
        </a:prstGeom>
        <a:blipFill dpi="0" rotWithShape="1">
          <a:blip xmlns:r="http://schemas.openxmlformats.org/officeDocument/2006/relationships" r:embed="rId1" cstate="print">
            <a:extLst>
              <a:ext uri="{28A0092B-C50C-407E-A947-70E740481C1C}">
                <a14:useLocalDpi xmlns:a14="http://schemas.microsoft.com/office/drawing/2010/main" val="0"/>
              </a:ext>
            </a:extLst>
          </a:blip>
          <a:srcRect/>
          <a:stretch>
            <a:fillRect l="1339" t="-1954" r="-1673" b="-15310"/>
          </a:stretch>
        </a:blip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7</xdr:col>
      <xdr:colOff>933450</xdr:colOff>
      <xdr:row>0</xdr:row>
      <xdr:rowOff>863600</xdr:rowOff>
    </xdr:from>
    <xdr:to>
      <xdr:col>12</xdr:col>
      <xdr:colOff>469900</xdr:colOff>
      <xdr:row>0</xdr:row>
      <xdr:rowOff>1346201</xdr:rowOff>
    </xdr:to>
    <xdr:sp macro="" textlink="">
      <xdr:nvSpPr>
        <xdr:cNvPr id="4" name="TextBox 3">
          <a:extLst>
            <a:ext uri="{FF2B5EF4-FFF2-40B4-BE49-F238E27FC236}">
              <a16:creationId xmlns:a16="http://schemas.microsoft.com/office/drawing/2014/main" id="{DA227805-1480-4BA7-8F94-BDB95D40E4AA}"/>
            </a:ext>
          </a:extLst>
        </xdr:cNvPr>
        <xdr:cNvSpPr txBox="1"/>
      </xdr:nvSpPr>
      <xdr:spPr>
        <a:xfrm>
          <a:off x="7516283" y="863600"/>
          <a:ext cx="4353984" cy="482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800">
              <a:solidFill>
                <a:schemeClr val="bg1"/>
              </a:solidFill>
              <a:latin typeface="Copperplate Gothic Light" panose="020E0507020206020404" pitchFamily="34" charset="0"/>
            </a:rPr>
            <a:t>Projects</a:t>
          </a:r>
        </a:p>
      </xdr:txBody>
    </xdr:sp>
    <xdr:clientData/>
  </xdr:twoCellAnchor>
  <xdr:twoCellAnchor editAs="oneCell">
    <xdr:from>
      <xdr:col>0</xdr:col>
      <xdr:colOff>262467</xdr:colOff>
      <xdr:row>0</xdr:row>
      <xdr:rowOff>0</xdr:rowOff>
    </xdr:from>
    <xdr:to>
      <xdr:col>5</xdr:col>
      <xdr:colOff>90363</xdr:colOff>
      <xdr:row>1</xdr:row>
      <xdr:rowOff>8467</xdr:rowOff>
    </xdr:to>
    <xdr:pic>
      <xdr:nvPicPr>
        <xdr:cNvPr id="8" name="Picture 7">
          <a:extLst>
            <a:ext uri="{FF2B5EF4-FFF2-40B4-BE49-F238E27FC236}">
              <a16:creationId xmlns:a16="http://schemas.microsoft.com/office/drawing/2014/main" id="{1B23D0D5-0E76-D723-78A4-0B646B6DC6F0}"/>
            </a:ext>
          </a:extLst>
        </xdr:cNvPr>
        <xdr:cNvPicPr>
          <a:picLocks noChangeAspect="1"/>
        </xdr:cNvPicPr>
      </xdr:nvPicPr>
      <xdr:blipFill>
        <a:blip xmlns:r="http://schemas.openxmlformats.org/officeDocument/2006/relationships" r:embed="rId2"/>
        <a:stretch>
          <a:fillRect/>
        </a:stretch>
      </xdr:blipFill>
      <xdr:spPr>
        <a:xfrm>
          <a:off x="262467" y="0"/>
          <a:ext cx="5157663" cy="14181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105833</xdr:colOff>
          <xdr:row>119</xdr:row>
          <xdr:rowOff>211667</xdr:rowOff>
        </xdr:from>
        <xdr:to>
          <xdr:col>6</xdr:col>
          <xdr:colOff>901700</xdr:colOff>
          <xdr:row>119</xdr:row>
          <xdr:rowOff>423333</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5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842433</xdr:colOff>
          <xdr:row>3</xdr:row>
          <xdr:rowOff>427567</xdr:rowOff>
        </xdr:from>
        <xdr:to>
          <xdr:col>7</xdr:col>
          <xdr:colOff>1914</xdr:colOff>
          <xdr:row>5</xdr:row>
          <xdr:rowOff>0</xdr:rowOff>
        </xdr:to>
        <xdr:sp macro="" textlink="">
          <xdr:nvSpPr>
            <xdr:cNvPr id="4099" name="Drop Down 3" hidden="1">
              <a:extLst>
                <a:ext uri="{63B3BB69-23CF-44E3-9099-C40C66FF867C}">
                  <a14:compatExt spid="_x0000_s4099"/>
                </a:ext>
                <a:ext uri="{FF2B5EF4-FFF2-40B4-BE49-F238E27FC236}">
                  <a16:creationId xmlns:a16="http://schemas.microsoft.com/office/drawing/2014/main" id="{00000000-0008-0000-0500-000003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6</xdr:col>
      <xdr:colOff>211667</xdr:colOff>
      <xdr:row>0</xdr:row>
      <xdr:rowOff>38100</xdr:rowOff>
    </xdr:from>
    <xdr:to>
      <xdr:col>7</xdr:col>
      <xdr:colOff>541867</xdr:colOff>
      <xdr:row>0</xdr:row>
      <xdr:rowOff>1337733</xdr:rowOff>
    </xdr:to>
    <xdr:sp macro="" textlink="">
      <xdr:nvSpPr>
        <xdr:cNvPr id="2" name="Oval 1">
          <a:extLst>
            <a:ext uri="{FF2B5EF4-FFF2-40B4-BE49-F238E27FC236}">
              <a16:creationId xmlns:a16="http://schemas.microsoft.com/office/drawing/2014/main" id="{F16097EA-4350-42B3-9449-F6C3CC7BC8EC}"/>
            </a:ext>
          </a:extLst>
        </xdr:cNvPr>
        <xdr:cNvSpPr/>
      </xdr:nvSpPr>
      <xdr:spPr>
        <a:xfrm>
          <a:off x="6328834" y="38100"/>
          <a:ext cx="1265766" cy="1299633"/>
        </a:xfrm>
        <a:prstGeom prst="ellipse">
          <a:avLst/>
        </a:prstGeom>
        <a:blipFill dpi="0" rotWithShape="1">
          <a:blip xmlns:r="http://schemas.openxmlformats.org/officeDocument/2006/relationships" r:embed="rId1" cstate="print">
            <a:extLst>
              <a:ext uri="{28A0092B-C50C-407E-A947-70E740481C1C}">
                <a14:useLocalDpi xmlns:a14="http://schemas.microsoft.com/office/drawing/2010/main" val="0"/>
              </a:ext>
            </a:extLst>
          </a:blip>
          <a:srcRect/>
          <a:stretch>
            <a:fillRect l="1339" t="-1954" r="-1673" b="-15310"/>
          </a:stretch>
        </a:blip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7</xdr:col>
      <xdr:colOff>933450</xdr:colOff>
      <xdr:row>0</xdr:row>
      <xdr:rowOff>863600</xdr:rowOff>
    </xdr:from>
    <xdr:to>
      <xdr:col>12</xdr:col>
      <xdr:colOff>469900</xdr:colOff>
      <xdr:row>0</xdr:row>
      <xdr:rowOff>1346201</xdr:rowOff>
    </xdr:to>
    <xdr:sp macro="" textlink="">
      <xdr:nvSpPr>
        <xdr:cNvPr id="3" name="TextBox 2">
          <a:extLst>
            <a:ext uri="{FF2B5EF4-FFF2-40B4-BE49-F238E27FC236}">
              <a16:creationId xmlns:a16="http://schemas.microsoft.com/office/drawing/2014/main" id="{C9E6534C-C1AE-4204-A3D4-E824E1C1F763}"/>
            </a:ext>
          </a:extLst>
        </xdr:cNvPr>
        <xdr:cNvSpPr txBox="1"/>
      </xdr:nvSpPr>
      <xdr:spPr>
        <a:xfrm>
          <a:off x="7986183" y="863600"/>
          <a:ext cx="4552950" cy="482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800">
              <a:solidFill>
                <a:schemeClr val="bg1"/>
              </a:solidFill>
              <a:latin typeface="Copperplate Gothic Light" panose="020E0507020206020404" pitchFamily="34" charset="0"/>
            </a:rPr>
            <a:t>Projects</a:t>
          </a:r>
        </a:p>
      </xdr:txBody>
    </xdr:sp>
    <xdr:clientData/>
  </xdr:twoCellAnchor>
  <xdr:twoCellAnchor editAs="oneCell">
    <xdr:from>
      <xdr:col>0</xdr:col>
      <xdr:colOff>301551</xdr:colOff>
      <xdr:row>0</xdr:row>
      <xdr:rowOff>0</xdr:rowOff>
    </xdr:from>
    <xdr:to>
      <xdr:col>5</xdr:col>
      <xdr:colOff>327022</xdr:colOff>
      <xdr:row>1</xdr:row>
      <xdr:rowOff>8989</xdr:rowOff>
    </xdr:to>
    <xdr:pic>
      <xdr:nvPicPr>
        <xdr:cNvPr id="6" name="Picture 5">
          <a:extLst>
            <a:ext uri="{FF2B5EF4-FFF2-40B4-BE49-F238E27FC236}">
              <a16:creationId xmlns:a16="http://schemas.microsoft.com/office/drawing/2014/main" id="{952E6A89-CC71-4713-8E12-0E792F1B9A71}"/>
            </a:ext>
          </a:extLst>
        </xdr:cNvPr>
        <xdr:cNvPicPr>
          <a:picLocks noChangeAspect="1"/>
        </xdr:cNvPicPr>
      </xdr:nvPicPr>
      <xdr:blipFill>
        <a:blip xmlns:r="http://schemas.openxmlformats.org/officeDocument/2006/relationships" r:embed="rId2"/>
        <a:stretch>
          <a:fillRect/>
        </a:stretch>
      </xdr:blipFill>
      <xdr:spPr>
        <a:xfrm>
          <a:off x="301551" y="0"/>
          <a:ext cx="5157663" cy="14181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6</xdr:col>
      <xdr:colOff>211667</xdr:colOff>
      <xdr:row>0</xdr:row>
      <xdr:rowOff>38100</xdr:rowOff>
    </xdr:from>
    <xdr:to>
      <xdr:col>7</xdr:col>
      <xdr:colOff>541867</xdr:colOff>
      <xdr:row>0</xdr:row>
      <xdr:rowOff>1337733</xdr:rowOff>
    </xdr:to>
    <xdr:sp macro="" textlink="">
      <xdr:nvSpPr>
        <xdr:cNvPr id="12" name="Oval 11">
          <a:extLst>
            <a:ext uri="{FF2B5EF4-FFF2-40B4-BE49-F238E27FC236}">
              <a16:creationId xmlns:a16="http://schemas.microsoft.com/office/drawing/2014/main" id="{5C44C108-8614-43C7-AE19-5D2E37ABDC37}"/>
            </a:ext>
          </a:extLst>
        </xdr:cNvPr>
        <xdr:cNvSpPr/>
      </xdr:nvSpPr>
      <xdr:spPr>
        <a:xfrm>
          <a:off x="5858934" y="38100"/>
          <a:ext cx="1265766" cy="1299633"/>
        </a:xfrm>
        <a:prstGeom prst="ellipse">
          <a:avLst/>
        </a:prstGeom>
        <a:blipFill dpi="0" rotWithShape="1">
          <a:blip xmlns:r="http://schemas.openxmlformats.org/officeDocument/2006/relationships" r:embed="rId1" cstate="print">
            <a:extLst>
              <a:ext uri="{28A0092B-C50C-407E-A947-70E740481C1C}">
                <a14:useLocalDpi xmlns:a14="http://schemas.microsoft.com/office/drawing/2010/main" val="0"/>
              </a:ext>
            </a:extLst>
          </a:blip>
          <a:srcRect/>
          <a:stretch>
            <a:fillRect l="1339" t="-1954" r="-1673" b="-15310"/>
          </a:stretch>
        </a:blip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7</xdr:col>
      <xdr:colOff>933450</xdr:colOff>
      <xdr:row>0</xdr:row>
      <xdr:rowOff>863600</xdr:rowOff>
    </xdr:from>
    <xdr:to>
      <xdr:col>12</xdr:col>
      <xdr:colOff>469900</xdr:colOff>
      <xdr:row>0</xdr:row>
      <xdr:rowOff>1346201</xdr:rowOff>
    </xdr:to>
    <xdr:sp macro="" textlink="">
      <xdr:nvSpPr>
        <xdr:cNvPr id="13" name="TextBox 12">
          <a:extLst>
            <a:ext uri="{FF2B5EF4-FFF2-40B4-BE49-F238E27FC236}">
              <a16:creationId xmlns:a16="http://schemas.microsoft.com/office/drawing/2014/main" id="{4C77886A-FFC4-4226-8B56-DFB7AF49CCB7}"/>
            </a:ext>
          </a:extLst>
        </xdr:cNvPr>
        <xdr:cNvSpPr txBox="1"/>
      </xdr:nvSpPr>
      <xdr:spPr>
        <a:xfrm>
          <a:off x="7516283" y="863600"/>
          <a:ext cx="4353984" cy="482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800">
              <a:solidFill>
                <a:schemeClr val="bg1"/>
              </a:solidFill>
              <a:latin typeface="Copperplate Gothic Light" panose="020E0507020206020404" pitchFamily="34" charset="0"/>
            </a:rPr>
            <a:t>Projects</a:t>
          </a:r>
        </a:p>
      </xdr:txBody>
    </xdr:sp>
    <xdr:clientData/>
  </xdr:twoCellAnchor>
  <xdr:twoCellAnchor editAs="oneCell">
    <xdr:from>
      <xdr:col>0</xdr:col>
      <xdr:colOff>276084</xdr:colOff>
      <xdr:row>0</xdr:row>
      <xdr:rowOff>0</xdr:rowOff>
    </xdr:from>
    <xdr:to>
      <xdr:col>5</xdr:col>
      <xdr:colOff>635969</xdr:colOff>
      <xdr:row>1</xdr:row>
      <xdr:rowOff>7055</xdr:rowOff>
    </xdr:to>
    <xdr:pic>
      <xdr:nvPicPr>
        <xdr:cNvPr id="15" name="Picture 14">
          <a:extLst>
            <a:ext uri="{FF2B5EF4-FFF2-40B4-BE49-F238E27FC236}">
              <a16:creationId xmlns:a16="http://schemas.microsoft.com/office/drawing/2014/main" id="{8F637F26-E3CD-4581-8E17-7B223B29E202}"/>
            </a:ext>
          </a:extLst>
        </xdr:cNvPr>
        <xdr:cNvPicPr>
          <a:picLocks noChangeAspect="1"/>
        </xdr:cNvPicPr>
      </xdr:nvPicPr>
      <xdr:blipFill>
        <a:blip xmlns:r="http://schemas.openxmlformats.org/officeDocument/2006/relationships" r:embed="rId2"/>
        <a:stretch>
          <a:fillRect/>
        </a:stretch>
      </xdr:blipFill>
      <xdr:spPr>
        <a:xfrm>
          <a:off x="276084" y="0"/>
          <a:ext cx="5157663" cy="14181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6</xdr:col>
      <xdr:colOff>211667</xdr:colOff>
      <xdr:row>0</xdr:row>
      <xdr:rowOff>38100</xdr:rowOff>
    </xdr:from>
    <xdr:to>
      <xdr:col>7</xdr:col>
      <xdr:colOff>541867</xdr:colOff>
      <xdr:row>0</xdr:row>
      <xdr:rowOff>1337733</xdr:rowOff>
    </xdr:to>
    <xdr:sp macro="" textlink="">
      <xdr:nvSpPr>
        <xdr:cNvPr id="6" name="Oval 5">
          <a:extLst>
            <a:ext uri="{FF2B5EF4-FFF2-40B4-BE49-F238E27FC236}">
              <a16:creationId xmlns:a16="http://schemas.microsoft.com/office/drawing/2014/main" id="{876DA40D-559B-4766-893F-70A3E5086FE2}"/>
            </a:ext>
          </a:extLst>
        </xdr:cNvPr>
        <xdr:cNvSpPr/>
      </xdr:nvSpPr>
      <xdr:spPr>
        <a:xfrm>
          <a:off x="5858934" y="38100"/>
          <a:ext cx="1265766" cy="1299633"/>
        </a:xfrm>
        <a:prstGeom prst="ellipse">
          <a:avLst/>
        </a:prstGeom>
        <a:blipFill dpi="0" rotWithShape="1">
          <a:blip xmlns:r="http://schemas.openxmlformats.org/officeDocument/2006/relationships" r:embed="rId1" cstate="print">
            <a:extLst>
              <a:ext uri="{28A0092B-C50C-407E-A947-70E740481C1C}">
                <a14:useLocalDpi xmlns:a14="http://schemas.microsoft.com/office/drawing/2010/main" val="0"/>
              </a:ext>
            </a:extLst>
          </a:blip>
          <a:srcRect/>
          <a:stretch>
            <a:fillRect l="1339" t="-1954" r="-1673" b="-15310"/>
          </a:stretch>
        </a:blip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7</xdr:col>
      <xdr:colOff>933450</xdr:colOff>
      <xdr:row>0</xdr:row>
      <xdr:rowOff>863600</xdr:rowOff>
    </xdr:from>
    <xdr:to>
      <xdr:col>12</xdr:col>
      <xdr:colOff>469900</xdr:colOff>
      <xdr:row>0</xdr:row>
      <xdr:rowOff>1346201</xdr:rowOff>
    </xdr:to>
    <xdr:sp macro="" textlink="">
      <xdr:nvSpPr>
        <xdr:cNvPr id="7" name="TextBox 6">
          <a:extLst>
            <a:ext uri="{FF2B5EF4-FFF2-40B4-BE49-F238E27FC236}">
              <a16:creationId xmlns:a16="http://schemas.microsoft.com/office/drawing/2014/main" id="{B9E21B07-F644-405A-8518-BFBEB283042C}"/>
            </a:ext>
          </a:extLst>
        </xdr:cNvPr>
        <xdr:cNvSpPr txBox="1"/>
      </xdr:nvSpPr>
      <xdr:spPr>
        <a:xfrm>
          <a:off x="7516283" y="863600"/>
          <a:ext cx="4353984" cy="482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800">
              <a:solidFill>
                <a:schemeClr val="bg1"/>
              </a:solidFill>
              <a:latin typeface="Copperplate Gothic Light" panose="020E0507020206020404" pitchFamily="34" charset="0"/>
            </a:rPr>
            <a:t>Projects</a:t>
          </a:r>
        </a:p>
      </xdr:txBody>
    </xdr:sp>
    <xdr:clientData/>
  </xdr:twoCellAnchor>
  <xdr:twoCellAnchor editAs="oneCell">
    <xdr:from>
      <xdr:col>0</xdr:col>
      <xdr:colOff>276084</xdr:colOff>
      <xdr:row>0</xdr:row>
      <xdr:rowOff>0</xdr:rowOff>
    </xdr:from>
    <xdr:to>
      <xdr:col>5</xdr:col>
      <xdr:colOff>635969</xdr:colOff>
      <xdr:row>1</xdr:row>
      <xdr:rowOff>36688</xdr:rowOff>
    </xdr:to>
    <xdr:pic>
      <xdr:nvPicPr>
        <xdr:cNvPr id="8" name="Picture 7">
          <a:extLst>
            <a:ext uri="{FF2B5EF4-FFF2-40B4-BE49-F238E27FC236}">
              <a16:creationId xmlns:a16="http://schemas.microsoft.com/office/drawing/2014/main" id="{A9105CDD-118E-410B-A9A6-8305E8073293}"/>
            </a:ext>
          </a:extLst>
        </xdr:cNvPr>
        <xdr:cNvPicPr>
          <a:picLocks noChangeAspect="1"/>
        </xdr:cNvPicPr>
      </xdr:nvPicPr>
      <xdr:blipFill>
        <a:blip xmlns:r="http://schemas.openxmlformats.org/officeDocument/2006/relationships" r:embed="rId2"/>
        <a:stretch>
          <a:fillRect/>
        </a:stretch>
      </xdr:blipFill>
      <xdr:spPr>
        <a:xfrm>
          <a:off x="276084" y="0"/>
          <a:ext cx="5156252" cy="141675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249767</xdr:colOff>
          <xdr:row>1</xdr:row>
          <xdr:rowOff>0</xdr:rowOff>
        </xdr:from>
        <xdr:to>
          <xdr:col>4</xdr:col>
          <xdr:colOff>131233</xdr:colOff>
          <xdr:row>2</xdr:row>
          <xdr:rowOff>0</xdr:rowOff>
        </xdr:to>
        <xdr:sp macro="" textlink="">
          <xdr:nvSpPr>
            <xdr:cNvPr id="7169" name="Drop Down 1" hidden="1">
              <a:extLst>
                <a:ext uri="{63B3BB69-23CF-44E3-9099-C40C66FF867C}">
                  <a14:compatExt spid="_x0000_s7169"/>
                </a:ext>
                <a:ext uri="{FF2B5EF4-FFF2-40B4-BE49-F238E27FC236}">
                  <a16:creationId xmlns:a16="http://schemas.microsoft.com/office/drawing/2014/main" id="{00000000-0008-0000-0800-000001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xdr:col>
      <xdr:colOff>0</xdr:colOff>
      <xdr:row>7</xdr:row>
      <xdr:rowOff>0</xdr:rowOff>
    </xdr:from>
    <xdr:to>
      <xdr:col>15</xdr:col>
      <xdr:colOff>0</xdr:colOff>
      <xdr:row>37</xdr:row>
      <xdr:rowOff>0</xdr:rowOff>
    </xdr:to>
    <xdr:graphicFrame macro="">
      <xdr:nvGraphicFramePr>
        <xdr:cNvPr id="8" name="Chart 7">
          <a:extLst>
            <a:ext uri="{FF2B5EF4-FFF2-40B4-BE49-F238E27FC236}">
              <a16:creationId xmlns:a16="http://schemas.microsoft.com/office/drawing/2014/main" id="{AD58A0FA-2375-8107-EE2D-48C6CD44050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211667</xdr:colOff>
      <xdr:row>0</xdr:row>
      <xdr:rowOff>38100</xdr:rowOff>
    </xdr:from>
    <xdr:to>
      <xdr:col>7</xdr:col>
      <xdr:colOff>541867</xdr:colOff>
      <xdr:row>0</xdr:row>
      <xdr:rowOff>1337733</xdr:rowOff>
    </xdr:to>
    <xdr:sp macro="" textlink="">
      <xdr:nvSpPr>
        <xdr:cNvPr id="6" name="Oval 5">
          <a:extLst>
            <a:ext uri="{FF2B5EF4-FFF2-40B4-BE49-F238E27FC236}">
              <a16:creationId xmlns:a16="http://schemas.microsoft.com/office/drawing/2014/main" id="{E761472B-25E5-415A-B852-E581BDCA4AA2}"/>
            </a:ext>
          </a:extLst>
        </xdr:cNvPr>
        <xdr:cNvSpPr/>
      </xdr:nvSpPr>
      <xdr:spPr>
        <a:xfrm>
          <a:off x="5858934" y="38100"/>
          <a:ext cx="1265766" cy="1299633"/>
        </a:xfrm>
        <a:prstGeom prst="ellipse">
          <a:avLst/>
        </a:prstGeom>
        <a:blipFill dpi="0" rotWithShape="1">
          <a:blip xmlns:r="http://schemas.openxmlformats.org/officeDocument/2006/relationships" r:embed="rId2" cstate="print">
            <a:extLst>
              <a:ext uri="{28A0092B-C50C-407E-A947-70E740481C1C}">
                <a14:useLocalDpi xmlns:a14="http://schemas.microsoft.com/office/drawing/2010/main" val="0"/>
              </a:ext>
            </a:extLst>
          </a:blip>
          <a:srcRect/>
          <a:stretch>
            <a:fillRect l="1339" t="-1954" r="-1673" b="-15310"/>
          </a:stretch>
        </a:blip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7</xdr:col>
      <xdr:colOff>933450</xdr:colOff>
      <xdr:row>0</xdr:row>
      <xdr:rowOff>863600</xdr:rowOff>
    </xdr:from>
    <xdr:to>
      <xdr:col>12</xdr:col>
      <xdr:colOff>469900</xdr:colOff>
      <xdr:row>0</xdr:row>
      <xdr:rowOff>1346201</xdr:rowOff>
    </xdr:to>
    <xdr:sp macro="" textlink="">
      <xdr:nvSpPr>
        <xdr:cNvPr id="7" name="TextBox 6">
          <a:extLst>
            <a:ext uri="{FF2B5EF4-FFF2-40B4-BE49-F238E27FC236}">
              <a16:creationId xmlns:a16="http://schemas.microsoft.com/office/drawing/2014/main" id="{D8654400-8B86-45AB-9225-E55DF42E1F96}"/>
            </a:ext>
          </a:extLst>
        </xdr:cNvPr>
        <xdr:cNvSpPr txBox="1"/>
      </xdr:nvSpPr>
      <xdr:spPr>
        <a:xfrm>
          <a:off x="7516283" y="863600"/>
          <a:ext cx="4353984" cy="482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800">
              <a:solidFill>
                <a:schemeClr val="bg1"/>
              </a:solidFill>
              <a:latin typeface="Copperplate Gothic Light" panose="020E0507020206020404" pitchFamily="34" charset="0"/>
            </a:rPr>
            <a:t>Projects</a:t>
          </a:r>
        </a:p>
      </xdr:txBody>
    </xdr:sp>
    <xdr:clientData/>
  </xdr:twoCellAnchor>
  <xdr:twoCellAnchor editAs="oneCell">
    <xdr:from>
      <xdr:col>0</xdr:col>
      <xdr:colOff>276084</xdr:colOff>
      <xdr:row>0</xdr:row>
      <xdr:rowOff>0</xdr:rowOff>
    </xdr:from>
    <xdr:to>
      <xdr:col>5</xdr:col>
      <xdr:colOff>635969</xdr:colOff>
      <xdr:row>1</xdr:row>
      <xdr:rowOff>95955</xdr:rowOff>
    </xdr:to>
    <xdr:pic>
      <xdr:nvPicPr>
        <xdr:cNvPr id="9" name="Picture 8">
          <a:extLst>
            <a:ext uri="{FF2B5EF4-FFF2-40B4-BE49-F238E27FC236}">
              <a16:creationId xmlns:a16="http://schemas.microsoft.com/office/drawing/2014/main" id="{18283C64-F00C-405A-9113-16DDA9188296}"/>
            </a:ext>
          </a:extLst>
        </xdr:cNvPr>
        <xdr:cNvPicPr>
          <a:picLocks noChangeAspect="1"/>
        </xdr:cNvPicPr>
      </xdr:nvPicPr>
      <xdr:blipFill>
        <a:blip xmlns:r="http://schemas.openxmlformats.org/officeDocument/2006/relationships" r:embed="rId3"/>
        <a:stretch>
          <a:fillRect/>
        </a:stretch>
      </xdr:blipFill>
      <xdr:spPr>
        <a:xfrm>
          <a:off x="276084" y="0"/>
          <a:ext cx="5156252" cy="144638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4395A-A9BB-433C-9AAF-66155C49FD5A}">
  <dimension ref="A1:T29"/>
  <sheetViews>
    <sheetView showGridLines="0" zoomScale="93" workbookViewId="0">
      <selection activeCell="M5" sqref="M5"/>
    </sheetView>
  </sheetViews>
  <sheetFormatPr defaultRowHeight="17" x14ac:dyDescent="0.7"/>
  <cols>
    <col min="1" max="1" width="8.9375" style="140"/>
    <col min="2" max="2" width="9.05859375" style="140" customWidth="1"/>
    <col min="3" max="3" width="83.17578125" style="140" customWidth="1"/>
    <col min="4" max="4" width="2.29296875" style="140" customWidth="1"/>
    <col min="5" max="5" width="14.1171875" style="140" bestFit="1" customWidth="1"/>
    <col min="6" max="6" width="11.8203125" style="140" bestFit="1" customWidth="1"/>
    <col min="7" max="9" width="13" style="140" bestFit="1" customWidth="1"/>
    <col min="10" max="11" width="14" style="140" bestFit="1" customWidth="1"/>
    <col min="12" max="12" width="12.9375" style="140" bestFit="1" customWidth="1"/>
    <col min="13" max="13" width="11.76171875" style="140" bestFit="1" customWidth="1"/>
    <col min="14" max="14" width="9.41015625" style="140" bestFit="1" customWidth="1"/>
    <col min="15" max="16" width="9" style="140" bestFit="1" customWidth="1"/>
    <col min="17" max="19" width="8.9375" style="140"/>
    <col min="20" max="20" width="11.17578125" style="140" bestFit="1" customWidth="1"/>
    <col min="21" max="16384" width="8.9375" style="140"/>
  </cols>
  <sheetData>
    <row r="1" spans="1:20" s="1" customFormat="1" ht="108" customHeight="1" x14ac:dyDescent="0.7">
      <c r="A1" s="223"/>
      <c r="B1" s="225"/>
      <c r="C1" s="225"/>
      <c r="D1" s="225"/>
      <c r="E1" s="226" t="s">
        <v>279</v>
      </c>
      <c r="F1" s="225"/>
      <c r="G1" s="225"/>
      <c r="H1" s="225"/>
      <c r="I1" s="225"/>
      <c r="J1" s="225"/>
      <c r="K1" s="237"/>
      <c r="L1" s="237"/>
      <c r="M1" s="237"/>
      <c r="N1" s="237"/>
      <c r="O1" s="237"/>
      <c r="P1" s="237"/>
      <c r="Q1" s="237"/>
      <c r="R1" s="237"/>
    </row>
    <row r="2" spans="1:20" x14ac:dyDescent="0.7">
      <c r="A2" s="224"/>
      <c r="B2" s="221"/>
      <c r="C2" s="221"/>
      <c r="D2" s="221"/>
      <c r="E2" s="221"/>
      <c r="F2" s="221"/>
      <c r="G2" s="221"/>
      <c r="H2" s="221"/>
      <c r="I2" s="221"/>
      <c r="J2" s="221"/>
      <c r="K2" s="224"/>
      <c r="L2" s="224"/>
      <c r="M2" s="224"/>
      <c r="N2" s="224"/>
      <c r="O2" s="224"/>
      <c r="P2" s="224"/>
      <c r="Q2" s="224"/>
      <c r="R2" s="224"/>
    </row>
    <row r="3" spans="1:20" ht="22" x14ac:dyDescent="0.7">
      <c r="A3" s="224"/>
      <c r="B3" s="220"/>
      <c r="C3" s="228" t="s">
        <v>280</v>
      </c>
      <c r="D3" s="229"/>
      <c r="E3" s="229"/>
      <c r="F3" s="229"/>
      <c r="G3" s="221"/>
      <c r="H3" s="221"/>
      <c r="I3" s="221"/>
      <c r="J3" s="221"/>
      <c r="K3" s="224"/>
      <c r="L3" s="224"/>
      <c r="M3" s="224"/>
      <c r="N3" s="224"/>
      <c r="O3" s="224"/>
      <c r="P3" s="224"/>
      <c r="Q3" s="224"/>
      <c r="R3" s="224"/>
    </row>
    <row r="4" spans="1:20" x14ac:dyDescent="0.7">
      <c r="A4" s="224"/>
      <c r="B4" s="221"/>
      <c r="C4" s="221"/>
      <c r="D4" s="221"/>
      <c r="E4" s="221"/>
      <c r="F4" s="221"/>
      <c r="G4" s="221"/>
      <c r="H4" s="221"/>
      <c r="I4" s="221"/>
      <c r="J4" s="221"/>
      <c r="K4" s="224"/>
      <c r="L4" s="224"/>
      <c r="M4" s="224"/>
      <c r="N4" s="224"/>
      <c r="O4" s="224"/>
      <c r="P4" s="224"/>
      <c r="Q4" s="224"/>
      <c r="R4" s="224"/>
    </row>
    <row r="5" spans="1:20" ht="121" customHeight="1" x14ac:dyDescent="0.7">
      <c r="A5" s="224"/>
      <c r="B5" s="221"/>
      <c r="C5" s="239" t="s">
        <v>300</v>
      </c>
      <c r="D5" s="239"/>
      <c r="E5" s="239"/>
      <c r="F5" s="239"/>
      <c r="G5" s="221"/>
      <c r="H5" s="221"/>
      <c r="I5" s="221"/>
      <c r="J5" s="221"/>
      <c r="K5" s="224"/>
      <c r="L5" s="224"/>
      <c r="M5" s="224"/>
      <c r="N5" s="224"/>
      <c r="O5" s="224"/>
      <c r="P5" s="224"/>
      <c r="Q5" s="224"/>
      <c r="R5" s="224"/>
    </row>
    <row r="6" spans="1:20" ht="20.7" x14ac:dyDescent="0.7">
      <c r="A6" s="224"/>
      <c r="B6" s="221"/>
      <c r="C6" s="239"/>
      <c r="D6" s="239"/>
      <c r="E6" s="239"/>
      <c r="F6" s="239"/>
      <c r="G6" s="221"/>
      <c r="H6" s="221"/>
      <c r="I6" s="221"/>
      <c r="J6" s="221"/>
      <c r="K6" s="224"/>
      <c r="L6" s="224"/>
      <c r="M6" s="224"/>
      <c r="N6" s="224"/>
      <c r="O6" s="224"/>
      <c r="P6" s="224"/>
      <c r="Q6" s="224"/>
      <c r="R6" s="224"/>
    </row>
    <row r="7" spans="1:20" ht="139.44999999999999" customHeight="1" x14ac:dyDescent="0.7">
      <c r="A7" s="224"/>
      <c r="B7" s="221"/>
      <c r="C7" s="239" t="s">
        <v>298</v>
      </c>
      <c r="D7" s="239"/>
      <c r="E7" s="239"/>
      <c r="F7" s="239"/>
      <c r="G7" s="221"/>
      <c r="H7" s="221"/>
      <c r="I7" s="221"/>
      <c r="J7" s="221"/>
      <c r="K7" s="224"/>
      <c r="L7" s="224"/>
      <c r="M7" s="224"/>
      <c r="N7" s="224"/>
      <c r="O7" s="224"/>
      <c r="P7" s="224"/>
      <c r="Q7" s="224"/>
      <c r="R7" s="224"/>
    </row>
    <row r="8" spans="1:20" ht="20.7" x14ac:dyDescent="0.7">
      <c r="A8" s="224"/>
      <c r="B8" s="221"/>
      <c r="C8" s="239"/>
      <c r="D8" s="239"/>
      <c r="E8" s="239"/>
      <c r="F8" s="239"/>
      <c r="G8" s="221"/>
      <c r="H8" s="221"/>
      <c r="I8" s="221"/>
      <c r="J8" s="221"/>
      <c r="K8" s="224"/>
      <c r="L8" s="224"/>
      <c r="M8" s="224"/>
      <c r="N8" s="224"/>
      <c r="O8" s="224"/>
      <c r="P8" s="224"/>
      <c r="Q8" s="224"/>
      <c r="R8" s="224"/>
    </row>
    <row r="9" spans="1:20" ht="145" customHeight="1" x14ac:dyDescent="0.7">
      <c r="A9" s="224"/>
      <c r="B9" s="221"/>
      <c r="C9" s="239" t="s">
        <v>299</v>
      </c>
      <c r="D9" s="239"/>
      <c r="E9" s="239"/>
      <c r="F9" s="239"/>
      <c r="G9" s="221"/>
      <c r="H9" s="221"/>
      <c r="I9" s="221"/>
      <c r="J9" s="221"/>
      <c r="K9" s="224"/>
      <c r="L9" s="224"/>
      <c r="M9" s="224"/>
      <c r="N9" s="224"/>
      <c r="O9" s="224"/>
      <c r="P9" s="224"/>
      <c r="Q9" s="224"/>
      <c r="R9" s="224"/>
    </row>
    <row r="10" spans="1:20" x14ac:dyDescent="0.7">
      <c r="A10" s="224"/>
      <c r="B10" s="221"/>
      <c r="C10" s="221"/>
      <c r="D10" s="221"/>
      <c r="E10" s="221"/>
      <c r="F10" s="221"/>
      <c r="G10" s="221"/>
      <c r="H10" s="221"/>
      <c r="I10" s="221"/>
      <c r="J10" s="221"/>
      <c r="K10" s="224"/>
      <c r="L10" s="224"/>
      <c r="M10" s="224"/>
      <c r="N10" s="224"/>
      <c r="O10" s="224"/>
      <c r="P10" s="224"/>
      <c r="Q10" s="224"/>
      <c r="R10" s="224"/>
    </row>
    <row r="11" spans="1:20" x14ac:dyDescent="0.7">
      <c r="A11" s="224"/>
      <c r="B11" s="221"/>
      <c r="C11" s="221"/>
      <c r="D11" s="221"/>
      <c r="E11" s="221"/>
      <c r="F11" s="221"/>
      <c r="G11" s="221"/>
      <c r="H11" s="221"/>
      <c r="I11" s="221"/>
      <c r="J11" s="221"/>
      <c r="K11" s="224"/>
      <c r="L11" s="224"/>
      <c r="M11" s="224"/>
      <c r="N11" s="224"/>
      <c r="O11" s="224"/>
      <c r="P11" s="224"/>
      <c r="Q11" s="224"/>
      <c r="R11" s="224"/>
      <c r="T11" s="236"/>
    </row>
    <row r="12" spans="1:20" ht="22" x14ac:dyDescent="0.7">
      <c r="A12" s="224"/>
      <c r="B12" s="221"/>
      <c r="C12" s="228" t="s">
        <v>285</v>
      </c>
      <c r="D12" s="229"/>
      <c r="E12" s="229"/>
      <c r="F12" s="229"/>
      <c r="G12" s="221"/>
      <c r="H12" s="221"/>
      <c r="I12" s="221"/>
      <c r="J12" s="221"/>
      <c r="K12" s="224"/>
      <c r="L12" s="224"/>
      <c r="M12" s="224"/>
      <c r="N12" s="224"/>
      <c r="O12" s="224"/>
      <c r="P12" s="224"/>
      <c r="Q12" s="224"/>
      <c r="R12" s="224"/>
      <c r="T12" s="236"/>
    </row>
    <row r="13" spans="1:20" x14ac:dyDescent="0.7">
      <c r="A13" s="224"/>
      <c r="B13" s="221"/>
      <c r="C13" s="221"/>
      <c r="D13" s="221"/>
      <c r="E13" s="221"/>
      <c r="F13" s="221"/>
      <c r="G13" s="221"/>
      <c r="H13" s="221"/>
      <c r="I13" s="221"/>
      <c r="J13" s="221"/>
      <c r="K13" s="224"/>
      <c r="L13" s="224"/>
      <c r="M13" s="224"/>
      <c r="N13" s="224"/>
      <c r="O13" s="224"/>
      <c r="P13" s="224"/>
      <c r="Q13" s="224"/>
      <c r="R13" s="224"/>
      <c r="T13" s="236" t="s">
        <v>239</v>
      </c>
    </row>
    <row r="14" spans="1:20" x14ac:dyDescent="0.7">
      <c r="A14" s="224"/>
      <c r="B14" s="221"/>
      <c r="C14" s="222" t="s">
        <v>237</v>
      </c>
      <c r="D14" s="221">
        <v>2</v>
      </c>
      <c r="E14" s="221"/>
      <c r="F14" s="221"/>
      <c r="G14" s="221"/>
      <c r="H14" s="221"/>
      <c r="I14" s="221"/>
      <c r="J14" s="221"/>
      <c r="K14" s="224"/>
      <c r="L14" s="224"/>
      <c r="M14" s="224"/>
      <c r="N14" s="224"/>
      <c r="O14" s="224"/>
      <c r="P14" s="224"/>
      <c r="Q14" s="224"/>
      <c r="R14" s="224"/>
      <c r="T14" s="236" t="s">
        <v>240</v>
      </c>
    </row>
    <row r="15" spans="1:20" x14ac:dyDescent="0.7">
      <c r="A15" s="224"/>
      <c r="B15" s="221"/>
      <c r="C15" s="221"/>
      <c r="D15" s="221"/>
      <c r="E15" s="221"/>
      <c r="F15" s="221"/>
      <c r="G15" s="221"/>
      <c r="H15" s="221"/>
      <c r="I15" s="221"/>
      <c r="J15" s="221"/>
      <c r="K15" s="224"/>
      <c r="L15" s="224"/>
      <c r="M15" s="224"/>
      <c r="N15" s="224"/>
      <c r="O15" s="224"/>
      <c r="P15" s="224"/>
      <c r="Q15" s="224"/>
      <c r="R15" s="224"/>
      <c r="T15" s="236" t="s">
        <v>241</v>
      </c>
    </row>
    <row r="16" spans="1:20" x14ac:dyDescent="0.7">
      <c r="A16" s="224"/>
      <c r="B16" s="221"/>
      <c r="C16" s="221"/>
      <c r="D16" s="221"/>
      <c r="E16" s="221"/>
      <c r="F16" s="221"/>
      <c r="G16" s="221"/>
      <c r="H16" s="221"/>
      <c r="I16" s="221"/>
      <c r="J16" s="221"/>
      <c r="K16" s="224"/>
      <c r="L16" s="224"/>
      <c r="M16" s="224"/>
      <c r="N16" s="224"/>
      <c r="O16" s="224"/>
      <c r="P16" s="224"/>
      <c r="Q16" s="224"/>
      <c r="R16" s="224"/>
      <c r="T16" s="236"/>
    </row>
    <row r="17" spans="1:18" ht="22.7" x14ac:dyDescent="0.7">
      <c r="A17" s="224"/>
      <c r="B17" s="221"/>
      <c r="C17" s="235" t="s">
        <v>281</v>
      </c>
      <c r="D17" s="229"/>
      <c r="E17" s="229"/>
      <c r="F17" s="229"/>
      <c r="G17" s="221"/>
      <c r="H17" s="221"/>
      <c r="I17" s="221"/>
      <c r="J17" s="221"/>
      <c r="K17" s="224"/>
      <c r="L17" s="224"/>
      <c r="M17" s="224"/>
      <c r="N17" s="224"/>
      <c r="O17" s="224"/>
      <c r="P17" s="224"/>
      <c r="Q17" s="224"/>
      <c r="R17" s="224"/>
    </row>
    <row r="18" spans="1:18" x14ac:dyDescent="0.7">
      <c r="A18" s="224"/>
      <c r="B18" s="221"/>
      <c r="C18" s="221"/>
      <c r="D18" s="221"/>
      <c r="E18" s="221"/>
      <c r="F18" s="221"/>
      <c r="G18" s="221"/>
      <c r="H18" s="221"/>
      <c r="I18" s="221"/>
      <c r="J18" s="221"/>
      <c r="K18" s="224"/>
      <c r="L18" s="224"/>
      <c r="M18" s="224"/>
      <c r="N18" s="224"/>
      <c r="O18" s="224"/>
      <c r="P18" s="224"/>
      <c r="Q18" s="224"/>
      <c r="R18" s="224"/>
    </row>
    <row r="19" spans="1:18" ht="225.7" customHeight="1" x14ac:dyDescent="0.7">
      <c r="A19" s="224"/>
      <c r="B19" s="221"/>
      <c r="C19" s="239" t="s">
        <v>301</v>
      </c>
      <c r="D19" s="239"/>
      <c r="E19" s="239"/>
      <c r="F19" s="239"/>
      <c r="G19" s="221"/>
      <c r="H19" s="221"/>
      <c r="I19" s="221"/>
      <c r="J19" s="221"/>
      <c r="K19" s="224"/>
      <c r="L19" s="224"/>
      <c r="M19" s="224"/>
      <c r="N19" s="224"/>
      <c r="O19" s="224"/>
      <c r="P19" s="224"/>
      <c r="Q19" s="224"/>
      <c r="R19" s="224"/>
    </row>
    <row r="20" spans="1:18" x14ac:dyDescent="0.7">
      <c r="A20" s="224"/>
      <c r="B20" s="221"/>
      <c r="C20" s="221"/>
      <c r="D20" s="221"/>
      <c r="E20" s="221"/>
      <c r="F20" s="221"/>
      <c r="G20" s="221"/>
      <c r="H20" s="221"/>
      <c r="I20" s="221"/>
      <c r="J20" s="221"/>
      <c r="K20" s="224"/>
      <c r="L20" s="224"/>
      <c r="M20" s="224"/>
      <c r="N20" s="224"/>
      <c r="O20" s="224"/>
      <c r="P20" s="224"/>
      <c r="Q20" s="224"/>
      <c r="R20" s="224"/>
    </row>
    <row r="21" spans="1:18" x14ac:dyDescent="0.7">
      <c r="A21" s="224"/>
      <c r="B21" s="221"/>
      <c r="C21" s="221"/>
      <c r="D21" s="221"/>
      <c r="E21" s="221"/>
      <c r="F21" s="221"/>
      <c r="G21" s="221"/>
      <c r="H21" s="221"/>
      <c r="I21" s="221"/>
      <c r="J21" s="221"/>
      <c r="K21" s="224"/>
      <c r="L21" s="224"/>
      <c r="M21" s="224"/>
      <c r="N21" s="224"/>
      <c r="O21" s="224"/>
      <c r="P21" s="224"/>
      <c r="Q21" s="224"/>
      <c r="R21" s="224"/>
    </row>
    <row r="22" spans="1:18" x14ac:dyDescent="0.7">
      <c r="A22" s="224"/>
      <c r="B22" s="221"/>
      <c r="C22" s="221"/>
      <c r="D22" s="221"/>
      <c r="E22" s="221"/>
      <c r="F22" s="221"/>
      <c r="G22" s="221"/>
      <c r="H22" s="221"/>
      <c r="I22" s="221"/>
      <c r="J22" s="221"/>
      <c r="K22" s="224"/>
      <c r="L22" s="224"/>
      <c r="M22" s="224"/>
      <c r="N22" s="224"/>
      <c r="O22" s="224"/>
      <c r="P22" s="224"/>
      <c r="Q22" s="224"/>
      <c r="R22" s="224"/>
    </row>
    <row r="23" spans="1:18" x14ac:dyDescent="0.7">
      <c r="A23" s="224"/>
      <c r="B23" s="221"/>
      <c r="C23" s="221"/>
      <c r="D23" s="221"/>
      <c r="E23" s="221"/>
      <c r="F23" s="221"/>
      <c r="G23" s="221"/>
      <c r="H23" s="221"/>
      <c r="I23" s="221"/>
      <c r="J23" s="221"/>
      <c r="K23" s="224"/>
      <c r="L23" s="224"/>
      <c r="M23" s="224"/>
      <c r="N23" s="224"/>
      <c r="O23" s="224"/>
      <c r="P23" s="224"/>
      <c r="Q23" s="224"/>
      <c r="R23" s="224"/>
    </row>
    <row r="24" spans="1:18" x14ac:dyDescent="0.7">
      <c r="A24" s="224"/>
      <c r="B24" s="227"/>
      <c r="C24" s="230" t="s">
        <v>282</v>
      </c>
      <c r="D24" s="227"/>
      <c r="E24" s="227"/>
      <c r="F24" s="227"/>
      <c r="G24" s="227"/>
      <c r="H24" s="227"/>
      <c r="I24" s="227"/>
      <c r="J24" s="227"/>
      <c r="K24" s="238"/>
      <c r="L24" s="238"/>
      <c r="M24" s="238"/>
      <c r="N24" s="238"/>
      <c r="O24" s="238"/>
      <c r="P24" s="238"/>
      <c r="Q24" s="238"/>
      <c r="R24" s="238"/>
    </row>
    <row r="25" spans="1:18" x14ac:dyDescent="0.7">
      <c r="A25" s="224"/>
      <c r="B25" s="221"/>
      <c r="C25" s="231" t="s">
        <v>287</v>
      </c>
      <c r="D25" s="221"/>
      <c r="E25" s="221"/>
      <c r="F25" s="221"/>
      <c r="G25" s="221"/>
      <c r="H25" s="221"/>
      <c r="I25" s="221"/>
      <c r="J25" s="221"/>
      <c r="K25" s="224"/>
      <c r="L25" s="224"/>
      <c r="M25" s="224"/>
      <c r="N25" s="224"/>
      <c r="O25" s="224"/>
      <c r="P25" s="224"/>
      <c r="Q25" s="224"/>
      <c r="R25" s="224"/>
    </row>
    <row r="26" spans="1:18" x14ac:dyDescent="0.7">
      <c r="A26" s="224"/>
      <c r="B26" s="221"/>
      <c r="C26" s="231" t="s">
        <v>283</v>
      </c>
      <c r="D26" s="221"/>
      <c r="E26" s="221"/>
      <c r="F26" s="221"/>
      <c r="G26" s="221"/>
      <c r="H26" s="221"/>
      <c r="I26" s="221"/>
      <c r="J26" s="221"/>
      <c r="K26" s="224"/>
      <c r="L26" s="224"/>
      <c r="M26" s="224"/>
      <c r="N26" s="224"/>
      <c r="O26" s="224"/>
      <c r="P26" s="224"/>
      <c r="Q26" s="224"/>
      <c r="R26" s="224"/>
    </row>
    <row r="27" spans="1:18" x14ac:dyDescent="0.7">
      <c r="A27" s="224"/>
      <c r="B27" s="221"/>
      <c r="C27" s="231" t="s">
        <v>284</v>
      </c>
      <c r="D27" s="221"/>
      <c r="E27" s="221"/>
      <c r="F27" s="221"/>
      <c r="G27" s="221"/>
      <c r="H27" s="221"/>
      <c r="I27" s="221"/>
      <c r="J27" s="221"/>
      <c r="K27" s="224"/>
      <c r="L27" s="224"/>
      <c r="M27" s="224"/>
      <c r="N27" s="224"/>
      <c r="O27" s="224"/>
      <c r="P27" s="224"/>
      <c r="Q27" s="224"/>
      <c r="R27" s="224"/>
    </row>
    <row r="28" spans="1:18" x14ac:dyDescent="0.7">
      <c r="A28" s="224"/>
      <c r="B28" s="221"/>
      <c r="C28" s="231" t="s">
        <v>286</v>
      </c>
      <c r="D28" s="221"/>
      <c r="E28" s="221"/>
      <c r="F28" s="221"/>
      <c r="G28" s="221"/>
      <c r="H28" s="221"/>
      <c r="I28" s="221"/>
      <c r="J28" s="221"/>
      <c r="K28" s="224"/>
      <c r="L28" s="224"/>
      <c r="M28" s="224"/>
      <c r="N28" s="224"/>
      <c r="O28" s="224"/>
      <c r="P28" s="224"/>
      <c r="Q28" s="224"/>
      <c r="R28" s="224"/>
    </row>
    <row r="29" spans="1:18" x14ac:dyDescent="0.7">
      <c r="A29" s="224"/>
      <c r="B29" s="221"/>
      <c r="C29" s="221"/>
      <c r="D29" s="221"/>
      <c r="E29" s="221"/>
      <c r="F29" s="221"/>
      <c r="G29" s="221"/>
      <c r="H29" s="221"/>
      <c r="I29" s="221"/>
      <c r="J29" s="221"/>
      <c r="K29" s="224"/>
      <c r="L29" s="224"/>
      <c r="M29" s="224"/>
      <c r="N29" s="224"/>
      <c r="O29" s="224"/>
      <c r="P29" s="224"/>
      <c r="Q29" s="224"/>
      <c r="R29" s="224"/>
    </row>
  </sheetData>
  <mergeCells count="6">
    <mergeCell ref="C19:F19"/>
    <mergeCell ref="C5:F5"/>
    <mergeCell ref="C6:F6"/>
    <mergeCell ref="C7:F7"/>
    <mergeCell ref="C8:F8"/>
    <mergeCell ref="C9:F9"/>
  </mergeCell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Drop Down 1">
              <controlPr defaultSize="0" autoLine="0" autoPict="0">
                <anchor moveWithCells="1">
                  <from>
                    <xdr:col>3</xdr:col>
                    <xdr:colOff>0</xdr:colOff>
                    <xdr:row>13</xdr:row>
                    <xdr:rowOff>0</xdr:rowOff>
                  </from>
                  <to>
                    <xdr:col>4</xdr:col>
                    <xdr:colOff>766233</xdr:colOff>
                    <xdr:row>14</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5717A-4555-48C6-A251-A3E1D508D68A}">
  <dimension ref="A1:Q39"/>
  <sheetViews>
    <sheetView showGridLines="0" zoomScale="70" workbookViewId="0">
      <pane ySplit="1" topLeftCell="A3" activePane="bottomLeft" state="frozen"/>
      <selection activeCell="J21" sqref="J21"/>
      <selection pane="bottomLeft" activeCell="L10" sqref="L10"/>
    </sheetView>
  </sheetViews>
  <sheetFormatPr defaultRowHeight="17" x14ac:dyDescent="0.7"/>
  <cols>
    <col min="1" max="1" width="8.9375" style="1" customWidth="1"/>
    <col min="2" max="2" width="12.29296875" style="1" customWidth="1"/>
    <col min="3" max="3" width="18.3515625" style="1" bestFit="1" customWidth="1"/>
    <col min="4" max="4" width="12.9375" style="1" bestFit="1" customWidth="1"/>
    <col min="5" max="5" width="14.1171875" style="1" bestFit="1" customWidth="1"/>
    <col min="6" max="6" width="11.8203125" style="1" bestFit="1" customWidth="1"/>
    <col min="7" max="9" width="13" style="1" bestFit="1" customWidth="1"/>
    <col min="10" max="11" width="14" style="1" bestFit="1" customWidth="1"/>
    <col min="12" max="12" width="12.9375" style="1" bestFit="1" customWidth="1"/>
    <col min="13" max="13" width="11.76171875" style="1" bestFit="1" customWidth="1"/>
    <col min="14" max="14" width="9.87890625" style="1" bestFit="1" customWidth="1"/>
    <col min="15" max="15" width="9.5859375" style="1" bestFit="1" customWidth="1"/>
    <col min="16" max="16" width="10.17578125" style="1" bestFit="1" customWidth="1"/>
    <col min="17" max="19" width="8.9375" style="1"/>
    <col min="20" max="20" width="11.17578125" style="1" bestFit="1" customWidth="1"/>
    <col min="21" max="16384" width="8.9375" style="1"/>
  </cols>
  <sheetData>
    <row r="1" spans="2:17" ht="108" customHeight="1" x14ac:dyDescent="0.7">
      <c r="B1" s="216"/>
      <c r="C1" s="216"/>
      <c r="D1" s="216"/>
      <c r="E1" s="216"/>
      <c r="F1" s="216"/>
      <c r="G1" s="216"/>
      <c r="H1" s="216"/>
      <c r="I1" s="217" t="s">
        <v>279</v>
      </c>
      <c r="J1" s="216"/>
      <c r="K1" s="216"/>
      <c r="L1" s="216"/>
      <c r="M1" s="216"/>
      <c r="N1" s="216"/>
      <c r="O1" s="216"/>
      <c r="P1" s="216"/>
      <c r="Q1" s="216"/>
    </row>
    <row r="3" spans="2:17" ht="30.35" x14ac:dyDescent="1.2">
      <c r="B3" s="5" t="s">
        <v>235</v>
      </c>
      <c r="C3" s="6"/>
      <c r="D3" s="6"/>
      <c r="E3" s="6"/>
      <c r="F3" s="6"/>
      <c r="G3" s="56"/>
      <c r="H3" s="56"/>
      <c r="I3" s="56"/>
      <c r="J3" s="56"/>
      <c r="K3" s="56"/>
      <c r="L3" s="56"/>
      <c r="M3" s="6"/>
      <c r="N3" s="163"/>
      <c r="O3" s="163"/>
      <c r="P3" s="163"/>
      <c r="Q3" s="163"/>
    </row>
    <row r="4" spans="2:17" x14ac:dyDescent="0.7">
      <c r="B4" s="213" t="s">
        <v>266</v>
      </c>
      <c r="C4" s="209"/>
      <c r="D4" s="209"/>
      <c r="E4" s="209"/>
      <c r="F4" s="210"/>
      <c r="G4" s="211"/>
      <c r="H4" s="211"/>
      <c r="I4" s="211"/>
      <c r="J4" s="211"/>
      <c r="K4" s="211"/>
      <c r="L4" s="211"/>
      <c r="M4" s="210"/>
      <c r="N4" s="212"/>
      <c r="O4" s="212"/>
      <c r="P4" s="212"/>
      <c r="Q4" s="212"/>
    </row>
    <row r="6" spans="2:17" x14ac:dyDescent="0.7">
      <c r="B6" s="1" t="s">
        <v>237</v>
      </c>
      <c r="K6" s="87" t="s">
        <v>238</v>
      </c>
    </row>
    <row r="8" spans="2:17" x14ac:dyDescent="0.7">
      <c r="B8" s="57" t="s">
        <v>236</v>
      </c>
      <c r="C8" s="58"/>
      <c r="D8" s="58"/>
      <c r="E8" s="58"/>
      <c r="F8" s="58"/>
      <c r="G8" s="58"/>
      <c r="H8" s="58"/>
      <c r="J8" s="57" t="s">
        <v>243</v>
      </c>
      <c r="K8" s="58"/>
      <c r="L8" s="58"/>
    </row>
    <row r="9" spans="2:17" x14ac:dyDescent="0.7">
      <c r="C9" s="12" t="s">
        <v>168</v>
      </c>
      <c r="D9" s="12"/>
      <c r="E9" s="12" t="s">
        <v>169</v>
      </c>
      <c r="F9" s="12"/>
      <c r="G9" s="12" t="s">
        <v>242</v>
      </c>
      <c r="J9" s="1" t="s">
        <v>175</v>
      </c>
      <c r="L9" s="157">
        <v>8</v>
      </c>
    </row>
    <row r="10" spans="2:17" x14ac:dyDescent="0.7">
      <c r="J10" s="1" t="s">
        <v>108</v>
      </c>
      <c r="L10" s="55">
        <f>WACC</f>
        <v>0.12499018919396405</v>
      </c>
    </row>
    <row r="11" spans="2:17" x14ac:dyDescent="0.7">
      <c r="B11" s="19" t="s">
        <v>239</v>
      </c>
      <c r="C11" s="190">
        <v>678327.55788281478</v>
      </c>
      <c r="D11" s="191"/>
      <c r="E11" s="191">
        <f>C11-$L$11</f>
        <v>650140.45788281481</v>
      </c>
      <c r="F11" s="191"/>
      <c r="G11" s="192">
        <f>E11/$L$12</f>
        <v>7200.5809932751663</v>
      </c>
      <c r="J11" s="1" t="s">
        <v>194</v>
      </c>
      <c r="L11" s="106">
        <f>-'DCF Model'!D140-'DCF Model'!D138</f>
        <v>28187.100000000006</v>
      </c>
    </row>
    <row r="12" spans="2:17" x14ac:dyDescent="0.7">
      <c r="B12" s="19" t="s">
        <v>240</v>
      </c>
      <c r="C12" s="193">
        <v>382521.33211556647</v>
      </c>
      <c r="E12" s="1">
        <f>C12-$L$11</f>
        <v>354334.2321155665</v>
      </c>
      <c r="G12" s="194">
        <f t="shared" ref="G12:G13" si="0">E12/$L$12</f>
        <v>3924.4017290460347</v>
      </c>
      <c r="J12" s="1" t="s">
        <v>171</v>
      </c>
      <c r="L12" s="106">
        <f>'DCF Model'!D147</f>
        <v>90.29</v>
      </c>
    </row>
    <row r="13" spans="2:17" x14ac:dyDescent="0.7">
      <c r="B13" s="19" t="s">
        <v>241</v>
      </c>
      <c r="C13" s="195">
        <v>178765.99917957475</v>
      </c>
      <c r="D13" s="196"/>
      <c r="E13" s="196">
        <f t="shared" ref="E13" si="1">C13-$L$11</f>
        <v>150578.89917957474</v>
      </c>
      <c r="F13" s="196"/>
      <c r="G13" s="197">
        <f t="shared" si="0"/>
        <v>1667.725098898823</v>
      </c>
      <c r="J13" s="1" t="s">
        <v>246</v>
      </c>
      <c r="L13" s="19">
        <v>231.79499999999999</v>
      </c>
    </row>
    <row r="14" spans="2:17" x14ac:dyDescent="0.7">
      <c r="K14" s="175" t="s">
        <v>201</v>
      </c>
    </row>
    <row r="15" spans="2:17" x14ac:dyDescent="0.7">
      <c r="B15" s="12" t="s">
        <v>252</v>
      </c>
      <c r="C15" s="232">
        <f>'DCF Model'!D133</f>
        <v>267674.24910562998</v>
      </c>
      <c r="D15" s="233"/>
      <c r="E15" s="233">
        <f>C15-$L$11</f>
        <v>239487.14910562997</v>
      </c>
      <c r="F15" s="233"/>
      <c r="G15" s="234">
        <f>E15/$L$12</f>
        <v>2652.4216314722557</v>
      </c>
      <c r="K15" s="175"/>
    </row>
    <row r="17" spans="1:17" x14ac:dyDescent="0.7">
      <c r="B17" s="160" t="s">
        <v>168</v>
      </c>
      <c r="C17" s="161"/>
      <c r="D17" s="161"/>
      <c r="E17" s="161"/>
      <c r="F17" s="161"/>
      <c r="G17" s="161"/>
      <c r="H17" s="161"/>
      <c r="K17" s="160" t="s">
        <v>244</v>
      </c>
      <c r="L17" s="161"/>
      <c r="M17" s="161"/>
      <c r="N17" s="161"/>
      <c r="O17" s="161"/>
      <c r="P17" s="161"/>
      <c r="Q17" s="161"/>
    </row>
    <row r="19" spans="1:17" x14ac:dyDescent="0.7">
      <c r="C19" s="101" t="s">
        <v>175</v>
      </c>
      <c r="D19" s="101"/>
      <c r="E19" s="101"/>
      <c r="F19" s="101"/>
      <c r="G19" s="101"/>
      <c r="L19" s="101" t="s">
        <v>175</v>
      </c>
      <c r="M19" s="101"/>
      <c r="N19" s="101"/>
      <c r="O19" s="101"/>
      <c r="P19" s="101"/>
    </row>
    <row r="20" spans="1:17" x14ac:dyDescent="0.7">
      <c r="B20" s="158">
        <f>'DCF Model'!D136</f>
        <v>267674.24910562998</v>
      </c>
      <c r="C20" s="159">
        <v>11</v>
      </c>
      <c r="D20" s="159">
        <f>C20+1</f>
        <v>12</v>
      </c>
      <c r="E20" s="171">
        <f t="shared" ref="E20:G20" si="2">D20+1</f>
        <v>13</v>
      </c>
      <c r="F20" s="159">
        <f t="shared" si="2"/>
        <v>14</v>
      </c>
      <c r="G20" s="159">
        <f t="shared" si="2"/>
        <v>15</v>
      </c>
      <c r="L20" s="159">
        <v>11</v>
      </c>
      <c r="M20" s="159">
        <v>12</v>
      </c>
      <c r="N20" s="171">
        <f>'DCF Model'!$C$122</f>
        <v>8</v>
      </c>
      <c r="O20" s="159">
        <v>14</v>
      </c>
      <c r="P20" s="159">
        <v>15</v>
      </c>
    </row>
    <row r="21" spans="1:17" x14ac:dyDescent="0.7">
      <c r="A21" s="240" t="s">
        <v>108</v>
      </c>
      <c r="B21" s="167">
        <v>0.105</v>
      </c>
      <c r="C21" s="38">
        <f t="dataTable" ref="C21:G25" dt2D="1" dtr="1" r1="L9" r2="L10"/>
        <v>384596.36701080675</v>
      </c>
      <c r="D21" s="168">
        <v>418682.74810812826</v>
      </c>
      <c r="E21" s="168">
        <v>452769.12920544978</v>
      </c>
      <c r="F21" s="168">
        <v>486855.51030277129</v>
      </c>
      <c r="G21" s="169">
        <v>520941.89140009275</v>
      </c>
      <c r="J21" s="240" t="s">
        <v>108</v>
      </c>
      <c r="K21" s="167">
        <v>0.105</v>
      </c>
      <c r="L21" s="38">
        <f t="shared" ref="L21:P25" si="3">C32/$L$12</f>
        <v>3947.3836195681324</v>
      </c>
      <c r="M21" s="168">
        <f t="shared" si="3"/>
        <v>4324.9047304034575</v>
      </c>
      <c r="N21" s="168">
        <f t="shared" si="3"/>
        <v>4702.4258412387826</v>
      </c>
      <c r="O21" s="168">
        <f t="shared" si="3"/>
        <v>5079.9469520741077</v>
      </c>
      <c r="P21" s="169">
        <f t="shared" si="3"/>
        <v>5457.4680629094337</v>
      </c>
    </row>
    <row r="22" spans="1:17" x14ac:dyDescent="0.7">
      <c r="A22" s="241"/>
      <c r="B22" s="167">
        <f>B21+0.01</f>
        <v>0.11499999999999999</v>
      </c>
      <c r="C22" s="170">
        <v>374400.94540701731</v>
      </c>
      <c r="D22" s="1">
        <v>407577.5859770918</v>
      </c>
      <c r="E22" s="1">
        <v>440754.22654716636</v>
      </c>
      <c r="F22" s="1">
        <v>473930.86711724085</v>
      </c>
      <c r="G22" s="164">
        <v>507107.50768731534</v>
      </c>
      <c r="J22" s="241"/>
      <c r="K22" s="167">
        <v>0.115</v>
      </c>
      <c r="L22" s="170">
        <f t="shared" si="3"/>
        <v>3834.4650061692018</v>
      </c>
      <c r="M22" s="1">
        <f t="shared" si="3"/>
        <v>4201.9103552673805</v>
      </c>
      <c r="N22" s="1">
        <f t="shared" si="3"/>
        <v>4569.3557043655592</v>
      </c>
      <c r="O22" s="1">
        <f t="shared" si="3"/>
        <v>4936.8010534637369</v>
      </c>
      <c r="P22" s="164">
        <f t="shared" si="3"/>
        <v>5304.2464025619156</v>
      </c>
    </row>
    <row r="23" spans="1:17" x14ac:dyDescent="0.7">
      <c r="A23" s="241"/>
      <c r="B23" s="172">
        <f t="shared" ref="B23:B25" si="4">B22+0.01</f>
        <v>0.12499999999999999</v>
      </c>
      <c r="C23" s="170">
        <v>364564.24903891241</v>
      </c>
      <c r="D23" s="1">
        <v>396863.22987795057</v>
      </c>
      <c r="E23" s="174">
        <v>429162.21071698872</v>
      </c>
      <c r="F23" s="1">
        <v>461461.19155602681</v>
      </c>
      <c r="G23" s="164">
        <v>493760.17239506496</v>
      </c>
      <c r="J23" s="241"/>
      <c r="K23" s="172">
        <f>'DCF Model'!$C$123</f>
        <v>0.12499018919396405</v>
      </c>
      <c r="L23" s="170">
        <f t="shared" si="3"/>
        <v>3725.5194267240267</v>
      </c>
      <c r="M23" s="1">
        <f t="shared" si="3"/>
        <v>4083.2443224936374</v>
      </c>
      <c r="N23" s="174">
        <f t="shared" si="3"/>
        <v>4440.969218263248</v>
      </c>
      <c r="O23" s="1">
        <f t="shared" si="3"/>
        <v>4798.694114032859</v>
      </c>
      <c r="P23" s="164">
        <f t="shared" si="3"/>
        <v>5156.4190098024692</v>
      </c>
    </row>
    <row r="24" spans="1:17" ht="17" customHeight="1" x14ac:dyDescent="0.7">
      <c r="A24" s="241"/>
      <c r="B24" s="167">
        <f t="shared" si="4"/>
        <v>0.13499999999999998</v>
      </c>
      <c r="C24" s="170">
        <v>355070.62327773648</v>
      </c>
      <c r="D24" s="1">
        <v>386522.62363246235</v>
      </c>
      <c r="E24" s="1">
        <v>417974.62398718827</v>
      </c>
      <c r="F24" s="1">
        <v>449426.6243419142</v>
      </c>
      <c r="G24" s="164">
        <v>480878.62469664006</v>
      </c>
      <c r="J24" s="241"/>
      <c r="K24" s="167">
        <v>0.13500000000000001</v>
      </c>
      <c r="L24" s="170">
        <f t="shared" si="3"/>
        <v>3620.3734995872906</v>
      </c>
      <c r="M24" s="1">
        <f t="shared" si="3"/>
        <v>3968.7177276826042</v>
      </c>
      <c r="N24" s="1">
        <f t="shared" si="3"/>
        <v>4317.0619557779182</v>
      </c>
      <c r="O24" s="1">
        <f t="shared" si="3"/>
        <v>4665.4061838732332</v>
      </c>
      <c r="P24" s="164">
        <f t="shared" si="3"/>
        <v>5013.7504119685464</v>
      </c>
    </row>
    <row r="25" spans="1:17" x14ac:dyDescent="0.7">
      <c r="A25" s="241"/>
      <c r="B25" s="167">
        <f t="shared" si="4"/>
        <v>0.14499999999999999</v>
      </c>
      <c r="C25" s="39">
        <v>345905.22647104057</v>
      </c>
      <c r="D25" s="165">
        <v>376539.59687228739</v>
      </c>
      <c r="E25" s="165">
        <v>407173.96727353433</v>
      </c>
      <c r="F25" s="165">
        <v>437808.33767478116</v>
      </c>
      <c r="G25" s="166">
        <v>468442.70807602792</v>
      </c>
      <c r="I25" s="1" t="s">
        <v>84</v>
      </c>
      <c r="J25" s="241"/>
      <c r="K25" s="167">
        <v>0.14499999999999999</v>
      </c>
      <c r="L25" s="39">
        <f t="shared" si="3"/>
        <v>3518.8628471706779</v>
      </c>
      <c r="M25" s="165">
        <f t="shared" si="3"/>
        <v>3858.1514771545835</v>
      </c>
      <c r="N25" s="165">
        <f t="shared" si="3"/>
        <v>4197.44010713849</v>
      </c>
      <c r="O25" s="165">
        <f t="shared" si="3"/>
        <v>4536.7287371223956</v>
      </c>
      <c r="P25" s="166">
        <f t="shared" si="3"/>
        <v>4876.0173671063012</v>
      </c>
    </row>
    <row r="28" spans="1:17" x14ac:dyDescent="0.7">
      <c r="B28" s="160" t="s">
        <v>169</v>
      </c>
      <c r="C28" s="161"/>
      <c r="D28" s="161"/>
      <c r="E28" s="161"/>
      <c r="F28" s="161"/>
      <c r="G28" s="161"/>
      <c r="H28" s="161"/>
      <c r="K28" s="160" t="s">
        <v>245</v>
      </c>
      <c r="L28" s="161"/>
      <c r="M28" s="161"/>
      <c r="N28" s="161"/>
      <c r="O28" s="161"/>
      <c r="P28" s="161"/>
      <c r="Q28" s="161"/>
    </row>
    <row r="30" spans="1:17" x14ac:dyDescent="0.7">
      <c r="C30" s="101" t="s">
        <v>175</v>
      </c>
      <c r="D30" s="101"/>
      <c r="E30" s="101"/>
      <c r="F30" s="101"/>
      <c r="G30" s="101"/>
      <c r="L30" s="101" t="s">
        <v>175</v>
      </c>
      <c r="M30" s="101"/>
      <c r="N30" s="101"/>
      <c r="O30" s="101"/>
      <c r="P30" s="101"/>
    </row>
    <row r="31" spans="1:17" x14ac:dyDescent="0.7">
      <c r="C31" s="159">
        <v>11</v>
      </c>
      <c r="D31" s="159">
        <v>12</v>
      </c>
      <c r="E31" s="171">
        <f>'DCF Model'!$C$122</f>
        <v>8</v>
      </c>
      <c r="F31" s="159">
        <v>14</v>
      </c>
      <c r="G31" s="159">
        <v>15</v>
      </c>
      <c r="L31" s="159">
        <v>11</v>
      </c>
      <c r="M31" s="159">
        <v>12</v>
      </c>
      <c r="N31" s="171">
        <f>'DCF Model'!$C$122</f>
        <v>8</v>
      </c>
      <c r="O31" s="159">
        <v>14</v>
      </c>
      <c r="P31" s="159">
        <v>15</v>
      </c>
    </row>
    <row r="32" spans="1:17" ht="17" customHeight="1" x14ac:dyDescent="0.7">
      <c r="A32" s="240" t="s">
        <v>108</v>
      </c>
      <c r="B32" s="162">
        <v>0.105</v>
      </c>
      <c r="C32" s="38">
        <f t="shared" ref="C32:G36" si="5">C21-$L$11</f>
        <v>356409.26701080671</v>
      </c>
      <c r="D32" s="168">
        <f t="shared" si="5"/>
        <v>390495.64810812823</v>
      </c>
      <c r="E32" s="168">
        <f t="shared" si="5"/>
        <v>424582.02920544974</v>
      </c>
      <c r="F32" s="168">
        <f t="shared" si="5"/>
        <v>458668.41030277126</v>
      </c>
      <c r="G32" s="169">
        <f t="shared" si="5"/>
        <v>492754.79140009277</v>
      </c>
      <c r="J32" s="240" t="s">
        <v>108</v>
      </c>
      <c r="K32" s="162">
        <v>0.105</v>
      </c>
      <c r="L32" s="176">
        <f t="shared" ref="L32:P36" si="6">L21/$L$13-1</f>
        <v>16.029632302543767</v>
      </c>
      <c r="M32" s="177">
        <f t="shared" si="6"/>
        <v>17.658317609971991</v>
      </c>
      <c r="N32" s="177">
        <f t="shared" si="6"/>
        <v>19.287002917400216</v>
      </c>
      <c r="O32" s="177">
        <f t="shared" si="6"/>
        <v>20.91568822482844</v>
      </c>
      <c r="P32" s="178">
        <f t="shared" si="6"/>
        <v>22.544373532256667</v>
      </c>
    </row>
    <row r="33" spans="1:17" x14ac:dyDescent="0.7">
      <c r="A33" s="241"/>
      <c r="B33" s="162">
        <v>0.115</v>
      </c>
      <c r="C33" s="170">
        <f t="shared" si="5"/>
        <v>346213.84540701727</v>
      </c>
      <c r="D33" s="1">
        <f t="shared" si="5"/>
        <v>379390.48597709183</v>
      </c>
      <c r="E33" s="1">
        <f t="shared" si="5"/>
        <v>412567.12654716638</v>
      </c>
      <c r="F33" s="1">
        <f t="shared" si="5"/>
        <v>445743.76711724082</v>
      </c>
      <c r="G33" s="164">
        <f t="shared" si="5"/>
        <v>478920.40768731537</v>
      </c>
      <c r="J33" s="241"/>
      <c r="K33" s="162">
        <v>0.115</v>
      </c>
      <c r="L33" s="179">
        <f t="shared" si="6"/>
        <v>15.542483686745623</v>
      </c>
      <c r="M33" s="37">
        <f t="shared" si="6"/>
        <v>17.127700577093471</v>
      </c>
      <c r="N33" s="37">
        <f t="shared" si="6"/>
        <v>18.712917467441315</v>
      </c>
      <c r="O33" s="37">
        <f t="shared" si="6"/>
        <v>20.298134357789156</v>
      </c>
      <c r="P33" s="180">
        <f t="shared" si="6"/>
        <v>21.883351248137</v>
      </c>
    </row>
    <row r="34" spans="1:17" x14ac:dyDescent="0.7">
      <c r="A34" s="241"/>
      <c r="B34" s="173">
        <f>'DCF Model'!$C$123</f>
        <v>0.12499018919396405</v>
      </c>
      <c r="C34" s="170">
        <f t="shared" si="5"/>
        <v>336377.14903891238</v>
      </c>
      <c r="D34" s="1">
        <f t="shared" si="5"/>
        <v>368676.12987795053</v>
      </c>
      <c r="E34" s="174">
        <f t="shared" si="5"/>
        <v>400975.11071698868</v>
      </c>
      <c r="F34" s="1">
        <f t="shared" si="5"/>
        <v>433274.09155602683</v>
      </c>
      <c r="G34" s="164">
        <f t="shared" si="5"/>
        <v>465573.07239506498</v>
      </c>
      <c r="J34" s="241"/>
      <c r="K34" s="173">
        <f>'DCF Model'!$C$123</f>
        <v>0.12499018919396405</v>
      </c>
      <c r="L34" s="179">
        <f t="shared" si="6"/>
        <v>15.072475362816398</v>
      </c>
      <c r="M34" s="37">
        <f t="shared" si="6"/>
        <v>16.615756692308452</v>
      </c>
      <c r="N34" s="181">
        <f t="shared" si="6"/>
        <v>18.159038021800505</v>
      </c>
      <c r="O34" s="37">
        <f t="shared" si="6"/>
        <v>19.702319351292562</v>
      </c>
      <c r="P34" s="180">
        <f t="shared" si="6"/>
        <v>21.245600680784612</v>
      </c>
    </row>
    <row r="35" spans="1:17" x14ac:dyDescent="0.7">
      <c r="A35" s="241"/>
      <c r="B35" s="162">
        <v>0.13500000000000001</v>
      </c>
      <c r="C35" s="170">
        <f t="shared" si="5"/>
        <v>326883.5232777365</v>
      </c>
      <c r="D35" s="1">
        <f t="shared" si="5"/>
        <v>358335.52363246237</v>
      </c>
      <c r="E35" s="1">
        <f t="shared" si="5"/>
        <v>389787.52398718824</v>
      </c>
      <c r="F35" s="1">
        <f t="shared" si="5"/>
        <v>421239.52434191422</v>
      </c>
      <c r="G35" s="164">
        <f t="shared" si="5"/>
        <v>452691.52469664009</v>
      </c>
      <c r="J35" s="241"/>
      <c r="K35" s="162">
        <v>0.13500000000000001</v>
      </c>
      <c r="L35" s="179">
        <f t="shared" si="6"/>
        <v>14.618859335133591</v>
      </c>
      <c r="M35" s="37">
        <f t="shared" si="6"/>
        <v>16.121670992396748</v>
      </c>
      <c r="N35" s="37">
        <f t="shared" si="6"/>
        <v>17.624482649659907</v>
      </c>
      <c r="O35" s="37">
        <f t="shared" si="6"/>
        <v>19.127294306923073</v>
      </c>
      <c r="P35" s="180">
        <f t="shared" si="6"/>
        <v>20.630105964186228</v>
      </c>
    </row>
    <row r="36" spans="1:17" x14ac:dyDescent="0.7">
      <c r="A36" s="241"/>
      <c r="B36" s="162">
        <v>0.14499999999999999</v>
      </c>
      <c r="C36" s="39">
        <f t="shared" si="5"/>
        <v>317718.12647104054</v>
      </c>
      <c r="D36" s="165">
        <f t="shared" si="5"/>
        <v>348352.49687228736</v>
      </c>
      <c r="E36" s="165">
        <f t="shared" si="5"/>
        <v>378986.8672735343</v>
      </c>
      <c r="F36" s="165">
        <f t="shared" si="5"/>
        <v>409621.23767478112</v>
      </c>
      <c r="G36" s="166">
        <f t="shared" si="5"/>
        <v>440255.60807602794</v>
      </c>
      <c r="J36" s="241"/>
      <c r="K36" s="162">
        <v>0.14499999999999999</v>
      </c>
      <c r="L36" s="182">
        <f t="shared" si="6"/>
        <v>14.1809264529894</v>
      </c>
      <c r="M36" s="183">
        <f t="shared" si="6"/>
        <v>15.644670839123293</v>
      </c>
      <c r="N36" s="183">
        <f t="shared" si="6"/>
        <v>17.10841522525719</v>
      </c>
      <c r="O36" s="183">
        <f t="shared" si="6"/>
        <v>18.572159611391083</v>
      </c>
      <c r="P36" s="184">
        <f t="shared" si="6"/>
        <v>20.035903997524976</v>
      </c>
    </row>
    <row r="39" spans="1:17" x14ac:dyDescent="0.7">
      <c r="B39" s="102"/>
      <c r="C39" s="102"/>
      <c r="D39" s="102"/>
      <c r="E39" s="102"/>
      <c r="F39" s="102"/>
      <c r="G39" s="102"/>
      <c r="H39" s="102"/>
      <c r="I39" s="102"/>
      <c r="J39" s="102"/>
      <c r="K39" s="102"/>
      <c r="L39" s="102"/>
      <c r="M39" s="102"/>
      <c r="N39" s="102"/>
      <c r="O39" s="102"/>
      <c r="P39" s="102"/>
      <c r="Q39" s="102"/>
    </row>
  </sheetData>
  <mergeCells count="4">
    <mergeCell ref="A21:A25"/>
    <mergeCell ref="J21:J25"/>
    <mergeCell ref="A32:A36"/>
    <mergeCell ref="J32:J36"/>
  </mergeCells>
  <pageMargins left="0.7" right="0.7" top="0.75" bottom="0.75" header="0.3" footer="0.3"/>
  <pageSetup orientation="landscape"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Drop Down 3">
              <controlPr defaultSize="0" autoLine="0" autoPict="0">
                <anchor moveWithCells="1">
                  <from>
                    <xdr:col>3</xdr:col>
                    <xdr:colOff>0</xdr:colOff>
                    <xdr:row>5</xdr:row>
                    <xdr:rowOff>0</xdr:rowOff>
                  </from>
                  <to>
                    <xdr:col>4</xdr:col>
                    <xdr:colOff>0</xdr:colOff>
                    <xdr:row>6</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4E75-CEAD-4F3D-958A-50F0C269A3F7}">
  <dimension ref="B1:Q29"/>
  <sheetViews>
    <sheetView showGridLines="0" zoomScale="69" workbookViewId="0">
      <pane ySplit="1" topLeftCell="A2" activePane="bottomLeft" state="frozen"/>
      <selection activeCell="J21" sqref="J21"/>
      <selection pane="bottomLeft" activeCell="M29" sqref="M29"/>
    </sheetView>
  </sheetViews>
  <sheetFormatPr defaultRowHeight="17" x14ac:dyDescent="0.7"/>
  <cols>
    <col min="1" max="1" width="8.9375" style="1"/>
    <col min="2" max="2" width="12.29296875" style="1" customWidth="1"/>
    <col min="3" max="3" width="18.3515625" style="1" bestFit="1" customWidth="1"/>
    <col min="4" max="4" width="12.9375" style="1" bestFit="1" customWidth="1"/>
    <col min="5" max="5" width="14.1171875" style="1" bestFit="1" customWidth="1"/>
    <col min="6" max="6" width="11.8203125" style="1" bestFit="1" customWidth="1"/>
    <col min="7" max="9" width="13" style="1" bestFit="1" customWidth="1"/>
    <col min="10" max="11" width="14" style="1" bestFit="1" customWidth="1"/>
    <col min="12" max="12" width="12.9375" style="1" bestFit="1" customWidth="1"/>
    <col min="13" max="13" width="11.76171875" style="1" bestFit="1" customWidth="1"/>
    <col min="14" max="14" width="9.41015625" style="1" bestFit="1" customWidth="1"/>
    <col min="15" max="16" width="9" style="1" bestFit="1" customWidth="1"/>
    <col min="17" max="16384" width="8.9375" style="1"/>
  </cols>
  <sheetData>
    <row r="1" spans="2:17" ht="106.7" customHeight="1" x14ac:dyDescent="0.7">
      <c r="B1" s="216"/>
      <c r="C1" s="216"/>
      <c r="D1" s="216"/>
      <c r="E1" s="216"/>
      <c r="F1" s="216"/>
      <c r="G1" s="216"/>
      <c r="H1" s="216"/>
      <c r="I1" s="217" t="s">
        <v>279</v>
      </c>
      <c r="J1" s="216"/>
      <c r="K1" s="216"/>
      <c r="L1" s="216"/>
      <c r="M1" s="216"/>
      <c r="N1" s="216"/>
      <c r="O1" s="216"/>
      <c r="P1" s="216"/>
      <c r="Q1" s="216"/>
    </row>
    <row r="2" spans="2:17" x14ac:dyDescent="0.7">
      <c r="B2" s="1" t="s">
        <v>237</v>
      </c>
      <c r="D2" s="1">
        <f>'Cover Page'!D14</f>
        <v>2</v>
      </c>
    </row>
    <row r="5" spans="2:17" x14ac:dyDescent="0.7">
      <c r="B5" s="57" t="s">
        <v>253</v>
      </c>
      <c r="C5" s="57"/>
      <c r="D5" s="57"/>
      <c r="E5" s="57"/>
      <c r="F5" s="57"/>
    </row>
    <row r="6" spans="2:17" x14ac:dyDescent="0.7">
      <c r="D6" s="22" t="s">
        <v>11</v>
      </c>
      <c r="E6" s="27" t="s">
        <v>248</v>
      </c>
      <c r="F6" s="27" t="s">
        <v>249</v>
      </c>
    </row>
    <row r="7" spans="2:17" x14ac:dyDescent="0.7">
      <c r="D7" s="22"/>
      <c r="E7" s="25"/>
      <c r="F7" s="25"/>
    </row>
    <row r="8" spans="2:17" x14ac:dyDescent="0.7">
      <c r="B8" s="1" t="s">
        <v>247</v>
      </c>
      <c r="D8" s="186">
        <f>CHOOSE($D$2,D10,D11,D12)</f>
        <v>51724.81</v>
      </c>
      <c r="E8" s="187">
        <f t="shared" ref="E8:F8" si="0">CHOOSE($D$2,E10,E11,E12)</f>
        <v>43870</v>
      </c>
      <c r="F8" s="188">
        <f t="shared" si="0"/>
        <v>52420</v>
      </c>
    </row>
    <row r="10" spans="2:17" x14ac:dyDescent="0.7">
      <c r="B10" s="19" t="s">
        <v>239</v>
      </c>
      <c r="D10" s="198">
        <v>51724.81</v>
      </c>
      <c r="E10" s="199">
        <v>62069.771999999997</v>
      </c>
      <c r="F10" s="200">
        <v>80690.703599999993</v>
      </c>
    </row>
    <row r="11" spans="2:17" x14ac:dyDescent="0.7">
      <c r="B11" s="19" t="s">
        <v>240</v>
      </c>
      <c r="D11" s="201">
        <v>51724.81</v>
      </c>
      <c r="E11" s="19">
        <v>43870</v>
      </c>
      <c r="F11" s="202">
        <v>52420</v>
      </c>
    </row>
    <row r="12" spans="2:17" x14ac:dyDescent="0.7">
      <c r="B12" s="19" t="s">
        <v>241</v>
      </c>
      <c r="D12" s="203">
        <v>51724.81</v>
      </c>
      <c r="E12" s="204">
        <v>43966.088499999998</v>
      </c>
      <c r="F12" s="205">
        <v>32902.5</v>
      </c>
    </row>
    <row r="13" spans="2:17" x14ac:dyDescent="0.7">
      <c r="B13" s="19"/>
      <c r="D13" s="19"/>
      <c r="E13" s="19"/>
      <c r="F13" s="19"/>
    </row>
    <row r="14" spans="2:17" x14ac:dyDescent="0.7">
      <c r="B14" s="102"/>
      <c r="C14" s="102"/>
      <c r="D14" s="102"/>
      <c r="E14" s="102"/>
      <c r="F14" s="27" t="s">
        <v>14</v>
      </c>
    </row>
    <row r="16" spans="2:17" x14ac:dyDescent="0.7">
      <c r="B16" s="1" t="s">
        <v>250</v>
      </c>
      <c r="F16" s="189">
        <f>CHOOSE($D$2,F18,F19,F20)</f>
        <v>0.25</v>
      </c>
    </row>
    <row r="18" spans="2:6" x14ac:dyDescent="0.7">
      <c r="B18" s="19" t="s">
        <v>239</v>
      </c>
      <c r="F18" s="206">
        <v>0.3</v>
      </c>
    </row>
    <row r="19" spans="2:6" x14ac:dyDescent="0.7">
      <c r="B19" s="19" t="s">
        <v>240</v>
      </c>
      <c r="F19" s="207">
        <v>0.25</v>
      </c>
    </row>
    <row r="20" spans="2:6" x14ac:dyDescent="0.7">
      <c r="B20" s="19" t="s">
        <v>241</v>
      </c>
      <c r="F20" s="208">
        <v>0.2</v>
      </c>
    </row>
    <row r="22" spans="2:6" x14ac:dyDescent="0.7">
      <c r="B22" s="102"/>
      <c r="C22" s="102"/>
      <c r="D22" s="185" t="s">
        <v>11</v>
      </c>
      <c r="E22" s="27" t="s">
        <v>248</v>
      </c>
      <c r="F22" s="27" t="s">
        <v>249</v>
      </c>
    </row>
    <row r="23" spans="2:6" x14ac:dyDescent="0.7">
      <c r="D23" s="22"/>
      <c r="E23" s="25"/>
      <c r="F23" s="25"/>
    </row>
    <row r="24" spans="2:6" x14ac:dyDescent="0.7">
      <c r="B24" s="1" t="s">
        <v>251</v>
      </c>
      <c r="D24" s="186">
        <f>CHOOSE($D$2,D26,D27,D28)</f>
        <v>0.25</v>
      </c>
      <c r="E24" s="187">
        <f t="shared" ref="E24:F24" si="1">CHOOSE($D$2,E26,E27,E28)</f>
        <v>0.25</v>
      </c>
      <c r="F24" s="188">
        <f t="shared" si="1"/>
        <v>0.25</v>
      </c>
    </row>
    <row r="26" spans="2:6" x14ac:dyDescent="0.7">
      <c r="B26" s="19" t="s">
        <v>239</v>
      </c>
      <c r="D26" s="198">
        <v>0.25</v>
      </c>
      <c r="E26" s="199">
        <v>0.2</v>
      </c>
      <c r="F26" s="200">
        <v>0.2</v>
      </c>
    </row>
    <row r="27" spans="2:6" x14ac:dyDescent="0.7">
      <c r="B27" s="19" t="s">
        <v>240</v>
      </c>
      <c r="D27" s="201">
        <v>0.25</v>
      </c>
      <c r="E27" s="19">
        <v>0.25</v>
      </c>
      <c r="F27" s="202">
        <v>0.25</v>
      </c>
    </row>
    <row r="28" spans="2:6" x14ac:dyDescent="0.7">
      <c r="B28" s="19" t="s">
        <v>241</v>
      </c>
      <c r="D28" s="203">
        <v>0.25</v>
      </c>
      <c r="E28" s="204">
        <v>0.3</v>
      </c>
      <c r="F28" s="205">
        <v>0.3</v>
      </c>
    </row>
    <row r="29" spans="2:6" x14ac:dyDescent="0.7">
      <c r="B29" s="58"/>
      <c r="C29" s="58"/>
      <c r="D29" s="58"/>
      <c r="E29" s="58"/>
      <c r="F29" s="58"/>
    </row>
  </sheetData>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3</xdr:col>
                    <xdr:colOff>0</xdr:colOff>
                    <xdr:row>1</xdr:row>
                    <xdr:rowOff>0</xdr:rowOff>
                  </from>
                  <to>
                    <xdr:col>4</xdr:col>
                    <xdr:colOff>0</xdr:colOff>
                    <xdr:row>2</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40B0B-057B-49E5-9CE3-16A2FC585B1F}">
  <dimension ref="B1:Q80"/>
  <sheetViews>
    <sheetView showGridLines="0" zoomScale="79" workbookViewId="0">
      <pane ySplit="1" topLeftCell="A56" activePane="bottomLeft" state="frozen"/>
      <selection pane="bottomLeft" activeCell="H79" sqref="H79"/>
    </sheetView>
  </sheetViews>
  <sheetFormatPr defaultRowHeight="17" x14ac:dyDescent="0.7"/>
  <cols>
    <col min="1" max="1" width="8.9375" style="1"/>
    <col min="2" max="2" width="12.29296875" style="1" customWidth="1"/>
    <col min="3" max="3" width="18.3515625" style="1" bestFit="1" customWidth="1"/>
    <col min="4" max="4" width="12.9375" style="1" bestFit="1" customWidth="1"/>
    <col min="5" max="5" width="14.1171875" style="1" bestFit="1" customWidth="1"/>
    <col min="6" max="6" width="11.8203125" style="1" bestFit="1" customWidth="1"/>
    <col min="7" max="9" width="13" style="1" bestFit="1" customWidth="1"/>
    <col min="10" max="11" width="14" style="1" bestFit="1" customWidth="1"/>
    <col min="12" max="12" width="12.9375" style="1" bestFit="1" customWidth="1"/>
    <col min="13" max="13" width="11.76171875" style="1" bestFit="1" customWidth="1"/>
    <col min="14" max="14" width="9.41015625" style="1" bestFit="1" customWidth="1"/>
    <col min="15" max="16" width="9" style="1" bestFit="1" customWidth="1"/>
    <col min="17" max="16384" width="8.9375" style="1"/>
  </cols>
  <sheetData>
    <row r="1" spans="2:17" ht="111" customHeight="1" x14ac:dyDescent="0.7">
      <c r="B1" s="216"/>
      <c r="C1" s="216"/>
      <c r="D1" s="216"/>
      <c r="E1" s="216"/>
      <c r="F1" s="216"/>
      <c r="G1" s="216"/>
      <c r="H1" s="216"/>
      <c r="I1" s="217" t="s">
        <v>279</v>
      </c>
      <c r="J1" s="216"/>
      <c r="K1" s="216"/>
      <c r="L1" s="216"/>
      <c r="M1" s="216"/>
      <c r="N1" s="216"/>
      <c r="O1" s="216"/>
      <c r="P1" s="216"/>
      <c r="Q1" s="216"/>
    </row>
    <row r="5" spans="2:17" x14ac:dyDescent="0.7">
      <c r="B5" s="12" t="s">
        <v>288</v>
      </c>
    </row>
    <row r="6" spans="2:17" x14ac:dyDescent="0.7">
      <c r="B6" s="1" t="s">
        <v>247</v>
      </c>
      <c r="E6" s="1" t="s">
        <v>254</v>
      </c>
      <c r="J6" s="1" t="s">
        <v>260</v>
      </c>
    </row>
    <row r="7" spans="2:17" x14ac:dyDescent="0.7">
      <c r="E7" s="1" t="s">
        <v>259</v>
      </c>
      <c r="J7" s="1" t="s">
        <v>261</v>
      </c>
    </row>
    <row r="8" spans="2:17" x14ac:dyDescent="0.7">
      <c r="B8" s="1" t="s">
        <v>250</v>
      </c>
      <c r="E8" s="1" t="s">
        <v>255</v>
      </c>
      <c r="J8" s="1" t="s">
        <v>262</v>
      </c>
    </row>
    <row r="9" spans="2:17" x14ac:dyDescent="0.7">
      <c r="E9" s="1" t="s">
        <v>256</v>
      </c>
      <c r="J9" s="1" t="s">
        <v>263</v>
      </c>
    </row>
    <row r="10" spans="2:17" x14ac:dyDescent="0.7">
      <c r="B10" s="1" t="s">
        <v>251</v>
      </c>
      <c r="E10" s="1" t="s">
        <v>257</v>
      </c>
      <c r="J10" s="1" t="s">
        <v>264</v>
      </c>
    </row>
    <row r="11" spans="2:17" x14ac:dyDescent="0.7">
      <c r="E11" s="1" t="s">
        <v>258</v>
      </c>
      <c r="J11" s="1" t="s">
        <v>265</v>
      </c>
    </row>
    <row r="13" spans="2:17" x14ac:dyDescent="0.7">
      <c r="B13" s="12" t="s">
        <v>108</v>
      </c>
    </row>
    <row r="14" spans="2:17" x14ac:dyDescent="0.7">
      <c r="B14" s="1" t="s">
        <v>141</v>
      </c>
    </row>
    <row r="15" spans="2:17" x14ac:dyDescent="0.7">
      <c r="B15" s="1">
        <v>2915.99</v>
      </c>
      <c r="C15" s="1" t="s">
        <v>142</v>
      </c>
    </row>
    <row r="16" spans="2:17" x14ac:dyDescent="0.7">
      <c r="B16" s="1">
        <v>34087.380000000005</v>
      </c>
      <c r="C16" s="1" t="s">
        <v>143</v>
      </c>
    </row>
    <row r="17" spans="2:9" x14ac:dyDescent="0.7">
      <c r="B17" s="37">
        <v>8.5544562239749711E-2</v>
      </c>
    </row>
    <row r="19" spans="2:9" x14ac:dyDescent="0.7">
      <c r="B19" s="1" t="s">
        <v>144</v>
      </c>
    </row>
    <row r="20" spans="2:9" x14ac:dyDescent="0.7">
      <c r="B20" s="1" t="s">
        <v>145</v>
      </c>
    </row>
    <row r="23" spans="2:9" x14ac:dyDescent="0.7">
      <c r="B23" s="1" t="s">
        <v>149</v>
      </c>
    </row>
    <row r="25" spans="2:9" x14ac:dyDescent="0.7">
      <c r="B25" s="1" t="s">
        <v>162</v>
      </c>
    </row>
    <row r="27" spans="2:9" x14ac:dyDescent="0.7">
      <c r="B27" s="12" t="s">
        <v>289</v>
      </c>
    </row>
    <row r="28" spans="2:9" x14ac:dyDescent="0.7">
      <c r="B28" s="12" t="s">
        <v>290</v>
      </c>
    </row>
    <row r="29" spans="2:9" x14ac:dyDescent="0.7">
      <c r="B29" s="1" t="s">
        <v>28</v>
      </c>
      <c r="D29" s="1" t="s">
        <v>29</v>
      </c>
    </row>
    <row r="30" spans="2:9" x14ac:dyDescent="0.7">
      <c r="B30" s="1" t="s">
        <v>27</v>
      </c>
      <c r="D30" s="1" t="s">
        <v>39</v>
      </c>
    </row>
    <row r="31" spans="2:9" x14ac:dyDescent="0.7">
      <c r="B31" s="1" t="s">
        <v>23</v>
      </c>
      <c r="D31" s="1" t="s">
        <v>24</v>
      </c>
      <c r="I31" s="1" t="s">
        <v>234</v>
      </c>
    </row>
    <row r="32" spans="2:9" x14ac:dyDescent="0.7">
      <c r="B32" s="1" t="s">
        <v>20</v>
      </c>
      <c r="D32" s="1" t="s">
        <v>21</v>
      </c>
      <c r="I32" s="1" t="s">
        <v>234</v>
      </c>
    </row>
    <row r="33" spans="2:10" x14ac:dyDescent="0.7">
      <c r="D33" s="1" t="s">
        <v>22</v>
      </c>
      <c r="I33" s="1" t="s">
        <v>234</v>
      </c>
    </row>
    <row r="34" spans="2:10" x14ac:dyDescent="0.7">
      <c r="B34" s="1" t="s">
        <v>30</v>
      </c>
      <c r="D34" s="1" t="s">
        <v>31</v>
      </c>
    </row>
    <row r="35" spans="2:10" x14ac:dyDescent="0.7">
      <c r="B35" s="1" t="s">
        <v>32</v>
      </c>
      <c r="D35" s="1" t="s">
        <v>33</v>
      </c>
    </row>
    <row r="36" spans="2:10" x14ac:dyDescent="0.7">
      <c r="B36" s="1" t="s">
        <v>34</v>
      </c>
      <c r="D36" s="1" t="s">
        <v>35</v>
      </c>
    </row>
    <row r="37" spans="2:10" x14ac:dyDescent="0.7">
      <c r="B37" s="1" t="s">
        <v>36</v>
      </c>
      <c r="D37" s="1" t="s">
        <v>92</v>
      </c>
    </row>
    <row r="39" spans="2:10" x14ac:dyDescent="0.7">
      <c r="B39" s="12" t="s">
        <v>291</v>
      </c>
    </row>
    <row r="40" spans="2:10" x14ac:dyDescent="0.7">
      <c r="B40" s="1" t="s">
        <v>44</v>
      </c>
      <c r="F40" s="1" t="s">
        <v>96</v>
      </c>
    </row>
    <row r="41" spans="2:10" x14ac:dyDescent="0.7">
      <c r="B41" s="1" t="s">
        <v>45</v>
      </c>
      <c r="F41" s="1" t="s">
        <v>89</v>
      </c>
      <c r="J41" s="1" t="s">
        <v>31</v>
      </c>
    </row>
    <row r="43" spans="2:10" x14ac:dyDescent="0.7">
      <c r="B43" s="1" t="s">
        <v>78</v>
      </c>
      <c r="F43" s="1" t="s">
        <v>85</v>
      </c>
      <c r="J43" s="1" t="s">
        <v>31</v>
      </c>
    </row>
    <row r="44" spans="2:10" x14ac:dyDescent="0.7">
      <c r="B44" s="1" t="s">
        <v>81</v>
      </c>
      <c r="F44" s="1" t="s">
        <v>86</v>
      </c>
      <c r="J44" s="1" t="s">
        <v>91</v>
      </c>
    </row>
    <row r="45" spans="2:10" x14ac:dyDescent="0.7">
      <c r="B45" s="1" t="s">
        <v>82</v>
      </c>
      <c r="F45" s="1" t="s">
        <v>87</v>
      </c>
      <c r="J45" s="1" t="s">
        <v>31</v>
      </c>
    </row>
    <row r="47" spans="2:10" x14ac:dyDescent="0.7">
      <c r="B47" s="1" t="s">
        <v>56</v>
      </c>
      <c r="F47" s="1" t="s">
        <v>90</v>
      </c>
      <c r="J47" s="1" t="s">
        <v>31</v>
      </c>
    </row>
    <row r="49" spans="2:10" x14ac:dyDescent="0.7">
      <c r="B49" s="1" t="s">
        <v>72</v>
      </c>
      <c r="F49" s="1" t="s">
        <v>94</v>
      </c>
      <c r="J49" s="1" t="s">
        <v>93</v>
      </c>
    </row>
    <row r="51" spans="2:10" x14ac:dyDescent="0.7">
      <c r="B51" s="1" t="s">
        <v>68</v>
      </c>
      <c r="F51" s="1" t="s">
        <v>97</v>
      </c>
    </row>
    <row r="53" spans="2:10" x14ac:dyDescent="0.7">
      <c r="B53" s="1" t="s">
        <v>30</v>
      </c>
      <c r="F53" s="1" t="s">
        <v>88</v>
      </c>
    </row>
    <row r="55" spans="2:10" x14ac:dyDescent="0.7">
      <c r="B55" s="12" t="s">
        <v>292</v>
      </c>
    </row>
    <row r="56" spans="2:10" x14ac:dyDescent="0.7">
      <c r="B56" s="1" t="s">
        <v>105</v>
      </c>
      <c r="D56" s="1" t="s">
        <v>106</v>
      </c>
    </row>
    <row r="58" spans="2:10" x14ac:dyDescent="0.7">
      <c r="B58" s="1" t="s">
        <v>107</v>
      </c>
      <c r="D58" s="1" t="s">
        <v>106</v>
      </c>
    </row>
    <row r="60" spans="2:10" x14ac:dyDescent="0.7">
      <c r="B60" s="12" t="s">
        <v>293</v>
      </c>
    </row>
    <row r="61" spans="2:10" x14ac:dyDescent="0.7">
      <c r="B61" s="1" t="s">
        <v>175</v>
      </c>
      <c r="E61" s="1" t="s">
        <v>176</v>
      </c>
    </row>
    <row r="63" spans="2:10" x14ac:dyDescent="0.7">
      <c r="B63" s="12" t="s">
        <v>294</v>
      </c>
    </row>
    <row r="64" spans="2:10" x14ac:dyDescent="0.7">
      <c r="B64" s="1" t="s">
        <v>295</v>
      </c>
    </row>
    <row r="65" spans="2:6" x14ac:dyDescent="0.7">
      <c r="B65" s="1" t="s">
        <v>215</v>
      </c>
    </row>
    <row r="66" spans="2:6" x14ac:dyDescent="0.7">
      <c r="B66" s="1" t="s">
        <v>217</v>
      </c>
    </row>
    <row r="68" spans="2:6" x14ac:dyDescent="0.7">
      <c r="B68" s="1" t="s">
        <v>216</v>
      </c>
    </row>
    <row r="70" spans="2:6" x14ac:dyDescent="0.7">
      <c r="B70" s="1" t="s">
        <v>218</v>
      </c>
    </row>
    <row r="73" spans="2:6" x14ac:dyDescent="0.7">
      <c r="B73" s="1" t="s">
        <v>202</v>
      </c>
      <c r="D73" s="1" t="s">
        <v>204</v>
      </c>
    </row>
    <row r="74" spans="2:6" x14ac:dyDescent="0.7">
      <c r="B74" s="1" t="s">
        <v>203</v>
      </c>
      <c r="D74" s="1" t="s">
        <v>205</v>
      </c>
    </row>
    <row r="75" spans="2:6" x14ac:dyDescent="0.7">
      <c r="B75" s="1" t="s">
        <v>194</v>
      </c>
      <c r="D75" s="1" t="s">
        <v>206</v>
      </c>
    </row>
    <row r="76" spans="2:6" x14ac:dyDescent="0.7">
      <c r="B76" s="1" t="s">
        <v>208</v>
      </c>
      <c r="D76" s="1" t="s">
        <v>207</v>
      </c>
    </row>
    <row r="77" spans="2:6" x14ac:dyDescent="0.7">
      <c r="B77" s="1" t="s">
        <v>209</v>
      </c>
      <c r="D77" s="1" t="s">
        <v>207</v>
      </c>
    </row>
    <row r="79" spans="2:6" x14ac:dyDescent="0.7">
      <c r="B79" s="12" t="s">
        <v>296</v>
      </c>
    </row>
    <row r="80" spans="2:6" x14ac:dyDescent="0.7">
      <c r="B80" s="1" t="s">
        <v>297</v>
      </c>
      <c r="D80" s="1" t="s">
        <v>197</v>
      </c>
      <c r="F80" s="1" t="s">
        <v>274</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C97D7-86FC-460A-BFE5-963BCB011F59}">
  <dimension ref="A1:Q64"/>
  <sheetViews>
    <sheetView showGridLines="0" zoomScale="71" workbookViewId="0">
      <pane ySplit="1" topLeftCell="A7" activePane="bottomLeft" state="frozen"/>
      <selection activeCell="J21" sqref="J21"/>
      <selection pane="bottomLeft" activeCell="K16" sqref="K16"/>
    </sheetView>
  </sheetViews>
  <sheetFormatPr defaultRowHeight="17" x14ac:dyDescent="0.7"/>
  <cols>
    <col min="1" max="1" width="8.9375" style="1"/>
    <col min="2" max="2" width="31.46875" style="1" customWidth="1"/>
    <col min="3" max="4" width="12.3515625" style="1" bestFit="1" customWidth="1"/>
    <col min="5" max="5" width="8.9375" style="1"/>
    <col min="6" max="6" width="10.9375" style="1" customWidth="1"/>
    <col min="7" max="7" width="13" style="1" bestFit="1" customWidth="1"/>
    <col min="8" max="8" width="13" style="1" customWidth="1"/>
    <col min="9" max="9" width="13.5859375" style="1" bestFit="1" customWidth="1"/>
    <col min="10" max="10" width="14" style="1" bestFit="1" customWidth="1"/>
    <col min="11" max="11" width="16.234375" style="1" bestFit="1" customWidth="1"/>
    <col min="12" max="12" width="12.87890625" style="1" bestFit="1" customWidth="1"/>
    <col min="13" max="13" width="11.3515625" style="1" bestFit="1" customWidth="1"/>
    <col min="14" max="14" width="11.46875" style="1" bestFit="1" customWidth="1"/>
    <col min="15" max="16384" width="8.9375" style="1"/>
  </cols>
  <sheetData>
    <row r="1" spans="1:17" ht="111" customHeight="1" x14ac:dyDescent="0.7">
      <c r="B1" s="216"/>
      <c r="C1" s="216"/>
      <c r="D1" s="216"/>
      <c r="E1" s="216"/>
      <c r="F1" s="216"/>
      <c r="G1" s="216"/>
      <c r="H1" s="216"/>
      <c r="I1" s="217" t="s">
        <v>279</v>
      </c>
      <c r="J1" s="216"/>
      <c r="K1" s="216"/>
      <c r="L1" s="216"/>
      <c r="M1" s="216"/>
      <c r="N1" s="216"/>
      <c r="O1" s="216"/>
      <c r="P1" s="216"/>
      <c r="Q1" s="216"/>
    </row>
    <row r="2" spans="1:17" ht="30.35" x14ac:dyDescent="1.2">
      <c r="A2" s="1" t="s">
        <v>84</v>
      </c>
      <c r="B2" s="5" t="s">
        <v>114</v>
      </c>
      <c r="C2" s="6"/>
      <c r="D2" s="6"/>
      <c r="E2" s="6"/>
      <c r="F2" s="6"/>
      <c r="G2" s="56"/>
      <c r="H2" s="56"/>
      <c r="I2" s="56"/>
      <c r="J2" s="56"/>
      <c r="K2" s="56"/>
      <c r="L2" s="56"/>
      <c r="M2" s="6"/>
      <c r="N2" s="6"/>
    </row>
    <row r="4" spans="1:17" ht="34" x14ac:dyDescent="0.7">
      <c r="B4" s="9" t="s">
        <v>38</v>
      </c>
    </row>
    <row r="6" spans="1:17" ht="34" x14ac:dyDescent="0.7">
      <c r="A6" s="1" t="s">
        <v>84</v>
      </c>
      <c r="B6" s="57" t="s">
        <v>115</v>
      </c>
      <c r="C6" s="58"/>
      <c r="D6" s="58"/>
      <c r="E6" s="58"/>
      <c r="F6" s="59" t="s">
        <v>123</v>
      </c>
      <c r="G6" s="59" t="s">
        <v>126</v>
      </c>
      <c r="H6" s="59" t="s">
        <v>127</v>
      </c>
      <c r="I6" s="60" t="s">
        <v>128</v>
      </c>
    </row>
    <row r="7" spans="1:17" x14ac:dyDescent="0.7">
      <c r="B7" s="1" t="s">
        <v>116</v>
      </c>
      <c r="F7" s="68">
        <v>0.25</v>
      </c>
      <c r="G7" s="69">
        <v>1.33</v>
      </c>
      <c r="H7" s="70">
        <v>1.84</v>
      </c>
      <c r="I7" s="41">
        <f t="shared" ref="I7:I13" si="0">H7/(1+(1-F7)*G7)</f>
        <v>0.92115143929912391</v>
      </c>
    </row>
    <row r="8" spans="1:17" x14ac:dyDescent="0.7">
      <c r="F8" s="68"/>
      <c r="G8" s="69"/>
      <c r="H8" s="70"/>
      <c r="I8" s="41"/>
    </row>
    <row r="9" spans="1:17" x14ac:dyDescent="0.7">
      <c r="B9" s="1" t="s">
        <v>117</v>
      </c>
      <c r="F9" s="68">
        <v>0.25</v>
      </c>
      <c r="G9" s="69">
        <v>1.5</v>
      </c>
      <c r="H9" s="70">
        <v>1.04</v>
      </c>
      <c r="I9" s="41">
        <f t="shared" si="0"/>
        <v>0.48941176470588238</v>
      </c>
    </row>
    <row r="10" spans="1:17" x14ac:dyDescent="0.7">
      <c r="F10" s="68"/>
      <c r="G10" s="69"/>
      <c r="H10" s="70"/>
      <c r="I10" s="41"/>
    </row>
    <row r="11" spans="1:17" x14ac:dyDescent="0.7">
      <c r="B11" s="1" t="s">
        <v>118</v>
      </c>
      <c r="F11" s="68">
        <v>0.25</v>
      </c>
      <c r="G11" s="69">
        <v>2.25</v>
      </c>
      <c r="H11" s="70">
        <v>1.53</v>
      </c>
      <c r="I11" s="41">
        <f t="shared" si="0"/>
        <v>0.56930232558139537</v>
      </c>
    </row>
    <row r="12" spans="1:17" x14ac:dyDescent="0.7">
      <c r="F12" s="68"/>
      <c r="G12" s="69"/>
      <c r="H12" s="70"/>
      <c r="I12" s="41"/>
    </row>
    <row r="13" spans="1:17" x14ac:dyDescent="0.7">
      <c r="B13" s="58" t="s">
        <v>119</v>
      </c>
      <c r="C13" s="58"/>
      <c r="D13" s="58"/>
      <c r="E13" s="58"/>
      <c r="F13" s="71">
        <v>0.25</v>
      </c>
      <c r="G13" s="72">
        <v>0.37</v>
      </c>
      <c r="H13" s="73">
        <v>1.83</v>
      </c>
      <c r="I13" s="74">
        <f t="shared" si="0"/>
        <v>1.4324853228962819</v>
      </c>
    </row>
    <row r="14" spans="1:17" x14ac:dyDescent="0.7">
      <c r="I14" s="15"/>
    </row>
    <row r="15" spans="1:17" x14ac:dyDescent="0.7">
      <c r="E15" s="61" t="s">
        <v>129</v>
      </c>
      <c r="F15" s="75">
        <f t="shared" ref="F15:I15" si="1">AVERAGE(F7:F13)</f>
        <v>0.25</v>
      </c>
      <c r="G15" s="76">
        <f t="shared" si="1"/>
        <v>1.3625</v>
      </c>
      <c r="H15" s="76">
        <f t="shared" si="1"/>
        <v>1.56</v>
      </c>
      <c r="I15" s="40">
        <f t="shared" si="1"/>
        <v>0.85308771312067089</v>
      </c>
      <c r="K15" s="20">
        <v>8</v>
      </c>
    </row>
    <row r="16" spans="1:17" x14ac:dyDescent="0.7">
      <c r="E16" s="57" t="s">
        <v>130</v>
      </c>
      <c r="F16" s="77">
        <f t="shared" ref="F16:I16" si="2">MEDIAN(F7:F13)</f>
        <v>0.25</v>
      </c>
      <c r="G16" s="78">
        <f t="shared" si="2"/>
        <v>1.415</v>
      </c>
      <c r="H16" s="78">
        <f t="shared" si="2"/>
        <v>1.6800000000000002</v>
      </c>
      <c r="I16" s="74">
        <f t="shared" si="2"/>
        <v>0.7452268824402597</v>
      </c>
    </row>
    <row r="19" spans="1:12" x14ac:dyDescent="0.7">
      <c r="A19" s="1" t="s">
        <v>84</v>
      </c>
      <c r="B19" s="57" t="s">
        <v>135</v>
      </c>
      <c r="C19" s="58"/>
      <c r="D19" s="58"/>
      <c r="E19" s="1" t="s">
        <v>84</v>
      </c>
      <c r="F19" s="57" t="s">
        <v>136</v>
      </c>
      <c r="G19" s="58"/>
      <c r="H19" s="58"/>
      <c r="I19" s="58"/>
    </row>
    <row r="20" spans="1:12" x14ac:dyDescent="0.7">
      <c r="B20" s="1" t="s">
        <v>131</v>
      </c>
      <c r="D20" s="1">
        <f>I15</f>
        <v>0.85308771312067089</v>
      </c>
      <c r="F20" s="1" t="s">
        <v>137</v>
      </c>
      <c r="I20" s="55">
        <v>8.5500000000000007E-2</v>
      </c>
    </row>
    <row r="22" spans="1:12" x14ac:dyDescent="0.7">
      <c r="B22" s="1" t="s">
        <v>122</v>
      </c>
      <c r="D22" s="37">
        <f>F15</f>
        <v>0.25</v>
      </c>
      <c r="F22" s="1" t="s">
        <v>122</v>
      </c>
      <c r="I22" s="37">
        <f>F15</f>
        <v>0.25</v>
      </c>
    </row>
    <row r="24" spans="1:12" x14ac:dyDescent="0.7">
      <c r="B24" s="1" t="s">
        <v>124</v>
      </c>
      <c r="D24" s="19">
        <v>0.61</v>
      </c>
      <c r="F24" s="3" t="s">
        <v>138</v>
      </c>
      <c r="G24" s="3"/>
      <c r="H24" s="3"/>
      <c r="I24" s="62">
        <f>I20*(1-I22)</f>
        <v>6.4125000000000001E-2</v>
      </c>
    </row>
    <row r="26" spans="1:12" ht="17.350000000000001" thickBot="1" x14ac:dyDescent="0.75">
      <c r="B26" s="13" t="s">
        <v>125</v>
      </c>
      <c r="C26" s="3"/>
      <c r="D26" s="3">
        <f>D20*(1+(1-D22)*D24)</f>
        <v>1.2433753418733777</v>
      </c>
      <c r="E26" s="1" t="s">
        <v>84</v>
      </c>
      <c r="F26" s="14" t="s">
        <v>139</v>
      </c>
      <c r="G26" s="4"/>
      <c r="H26" s="4"/>
      <c r="I26" s="63">
        <f>I24</f>
        <v>6.4125000000000001E-2</v>
      </c>
      <c r="L26" s="37"/>
    </row>
    <row r="27" spans="1:12" ht="17.350000000000001" thickTop="1" x14ac:dyDescent="0.7"/>
    <row r="28" spans="1:12" x14ac:dyDescent="0.7">
      <c r="B28" s="13" t="s">
        <v>132</v>
      </c>
      <c r="C28" s="3"/>
      <c r="D28" s="64">
        <v>6.3E-2</v>
      </c>
    </row>
    <row r="30" spans="1:12" x14ac:dyDescent="0.7">
      <c r="B30" s="13" t="s">
        <v>133</v>
      </c>
      <c r="C30" s="3"/>
      <c r="D30" s="64">
        <v>0.13</v>
      </c>
    </row>
    <row r="32" spans="1:12" ht="17.350000000000001" thickBot="1" x14ac:dyDescent="0.75">
      <c r="A32" s="1" t="s">
        <v>84</v>
      </c>
      <c r="B32" s="14" t="s">
        <v>134</v>
      </c>
      <c r="C32" s="4"/>
      <c r="D32" s="63">
        <f>D28+D26*(D30-D28)</f>
        <v>0.14630614790551633</v>
      </c>
      <c r="E32" s="1" t="s">
        <v>84</v>
      </c>
      <c r="F32" s="14" t="s">
        <v>140</v>
      </c>
      <c r="G32" s="4"/>
      <c r="H32" s="4"/>
      <c r="I32" s="63">
        <f>D32</f>
        <v>0.14630614790551633</v>
      </c>
    </row>
    <row r="33" spans="1:9" ht="17.350000000000001" thickTop="1" x14ac:dyDescent="0.7"/>
    <row r="34" spans="1:9" x14ac:dyDescent="0.7">
      <c r="A34" s="1" t="s">
        <v>84</v>
      </c>
      <c r="B34" s="57" t="s">
        <v>158</v>
      </c>
      <c r="C34" s="58"/>
      <c r="D34" s="58"/>
      <c r="E34" s="1" t="s">
        <v>84</v>
      </c>
      <c r="F34" s="57" t="s">
        <v>159</v>
      </c>
      <c r="G34" s="58"/>
      <c r="H34" s="58"/>
      <c r="I34" s="58"/>
    </row>
    <row r="35" spans="1:9" x14ac:dyDescent="0.7">
      <c r="B35" s="1" t="s">
        <v>146</v>
      </c>
      <c r="D35" s="1">
        <f>SUM('DCF Model'!$K$74:$K$76)</f>
        <v>34087.380000000005</v>
      </c>
      <c r="F35" s="1" t="s">
        <v>146</v>
      </c>
      <c r="I35" s="1">
        <f>SUM('DCF Model'!$K$74:$K$76)</f>
        <v>34087.380000000005</v>
      </c>
    </row>
    <row r="37" spans="1:9" x14ac:dyDescent="0.7">
      <c r="B37" s="1" t="s">
        <v>147</v>
      </c>
      <c r="D37" s="19">
        <v>208900</v>
      </c>
      <c r="F37" s="1" t="s">
        <v>156</v>
      </c>
      <c r="I37" s="1">
        <f>'DCF Model'!K92</f>
        <v>902.94</v>
      </c>
    </row>
    <row r="39" spans="1:9" ht="17.350000000000001" thickBot="1" x14ac:dyDescent="0.75">
      <c r="A39" s="1" t="s">
        <v>84</v>
      </c>
      <c r="B39" s="14" t="s">
        <v>148</v>
      </c>
      <c r="C39" s="4"/>
      <c r="D39" s="4">
        <f>SUM(D35:D38)</f>
        <v>242987.38</v>
      </c>
      <c r="F39" s="1" t="s">
        <v>157</v>
      </c>
      <c r="I39" s="20">
        <f>'DCF Model'!K93</f>
        <v>55075.74</v>
      </c>
    </row>
    <row r="40" spans="1:9" ht="17.350000000000001" thickTop="1" x14ac:dyDescent="0.7">
      <c r="B40" s="12"/>
    </row>
    <row r="41" spans="1:9" ht="17.350000000000001" thickBot="1" x14ac:dyDescent="0.75">
      <c r="B41" s="12"/>
      <c r="E41" s="1" t="s">
        <v>84</v>
      </c>
      <c r="F41" s="14" t="s">
        <v>148</v>
      </c>
      <c r="G41" s="4"/>
      <c r="H41" s="4"/>
      <c r="I41" s="4">
        <f>SUM(I35:I40)</f>
        <v>90066.06</v>
      </c>
    </row>
    <row r="42" spans="1:9" ht="17.350000000000001" thickTop="1" x14ac:dyDescent="0.7"/>
    <row r="43" spans="1:9" x14ac:dyDescent="0.7">
      <c r="A43" s="1" t="s">
        <v>84</v>
      </c>
      <c r="B43" s="57" t="s">
        <v>150</v>
      </c>
      <c r="C43" s="58"/>
      <c r="D43" s="58"/>
      <c r="E43" s="58"/>
      <c r="F43" s="58"/>
      <c r="G43" s="58"/>
      <c r="H43" s="58"/>
      <c r="I43" s="58"/>
    </row>
    <row r="44" spans="1:9" x14ac:dyDescent="0.7">
      <c r="B44" s="12"/>
    </row>
    <row r="45" spans="1:9" x14ac:dyDescent="0.7">
      <c r="B45" s="66" t="s">
        <v>151</v>
      </c>
      <c r="C45" s="67" t="s">
        <v>153</v>
      </c>
      <c r="D45" s="67"/>
      <c r="E45" s="67" t="s">
        <v>154</v>
      </c>
      <c r="F45" s="67"/>
      <c r="G45" s="67" t="s">
        <v>155</v>
      </c>
      <c r="H45" s="65"/>
      <c r="I45" s="67" t="s">
        <v>108</v>
      </c>
    </row>
    <row r="46" spans="1:9" x14ac:dyDescent="0.7">
      <c r="B46" s="1" t="s">
        <v>121</v>
      </c>
      <c r="C46" s="1">
        <f>D37</f>
        <v>208900</v>
      </c>
      <c r="E46" s="1">
        <f>C46/C50</f>
        <v>0.85971543048861221</v>
      </c>
      <c r="G46" s="37">
        <f>D32</f>
        <v>0.14630614790551633</v>
      </c>
      <c r="I46" s="37">
        <f>E46*G46</f>
        <v>0.12578165292972154</v>
      </c>
    </row>
    <row r="47" spans="1:9" x14ac:dyDescent="0.7">
      <c r="G47" s="37"/>
      <c r="I47" s="37"/>
    </row>
    <row r="48" spans="1:9" x14ac:dyDescent="0.7">
      <c r="B48" s="1" t="s">
        <v>120</v>
      </c>
      <c r="C48" s="1">
        <f>D35</f>
        <v>34087.380000000005</v>
      </c>
      <c r="E48" s="1">
        <f>C48/C50</f>
        <v>0.14028456951138782</v>
      </c>
      <c r="G48" s="37">
        <f>I26</f>
        <v>6.4125000000000001E-2</v>
      </c>
      <c r="I48" s="37">
        <f>E48*G48</f>
        <v>8.9957480199177441E-3</v>
      </c>
    </row>
    <row r="49" spans="1:9" x14ac:dyDescent="0.7">
      <c r="I49" s="37"/>
    </row>
    <row r="50" spans="1:9" ht="17.350000000000001" thickBot="1" x14ac:dyDescent="0.75">
      <c r="A50" s="1" t="s">
        <v>84</v>
      </c>
      <c r="B50" s="14" t="s">
        <v>152</v>
      </c>
      <c r="C50" s="4">
        <f>SUM(C46:C49)</f>
        <v>242987.38</v>
      </c>
      <c r="D50" s="4"/>
      <c r="E50" s="4">
        <f>SUM(E46:E49)</f>
        <v>1</v>
      </c>
      <c r="F50" s="4"/>
      <c r="G50" s="4">
        <v>0</v>
      </c>
      <c r="H50" s="4"/>
      <c r="I50" s="79">
        <f>SUM(I46:I49)</f>
        <v>0.13477740094963928</v>
      </c>
    </row>
    <row r="51" spans="1:9" ht="17.350000000000001" thickTop="1" x14ac:dyDescent="0.7"/>
    <row r="52" spans="1:9" x14ac:dyDescent="0.7">
      <c r="A52" s="1" t="s">
        <v>84</v>
      </c>
      <c r="B52" s="57" t="s">
        <v>160</v>
      </c>
      <c r="C52" s="58"/>
      <c r="D52" s="58"/>
      <c r="E52" s="58"/>
      <c r="F52" s="58"/>
      <c r="G52" s="58"/>
      <c r="H52" s="58"/>
      <c r="I52" s="58"/>
    </row>
    <row r="53" spans="1:9" x14ac:dyDescent="0.7">
      <c r="B53" s="12"/>
    </row>
    <row r="54" spans="1:9" x14ac:dyDescent="0.7">
      <c r="B54" s="66" t="s">
        <v>151</v>
      </c>
      <c r="C54" s="67" t="s">
        <v>153</v>
      </c>
      <c r="D54" s="67"/>
      <c r="E54" s="67" t="s">
        <v>154</v>
      </c>
      <c r="F54" s="67"/>
      <c r="G54" s="67" t="s">
        <v>155</v>
      </c>
      <c r="H54" s="65"/>
      <c r="I54" s="67" t="s">
        <v>108</v>
      </c>
    </row>
    <row r="55" spans="1:9" x14ac:dyDescent="0.7">
      <c r="B55" s="1" t="s">
        <v>121</v>
      </c>
      <c r="C55" s="1">
        <f>I37</f>
        <v>902.94</v>
      </c>
      <c r="E55" s="1">
        <f>C55/C61</f>
        <v>1.002530809052822E-2</v>
      </c>
      <c r="G55" s="37">
        <f>D32</f>
        <v>0.14630614790551633</v>
      </c>
      <c r="I55" s="37">
        <f>E55*G55</f>
        <v>1.4667642082911913E-3</v>
      </c>
    </row>
    <row r="56" spans="1:9" x14ac:dyDescent="0.7">
      <c r="G56" s="37"/>
      <c r="I56" s="37"/>
    </row>
    <row r="57" spans="1:9" x14ac:dyDescent="0.7">
      <c r="B57" s="1" t="s">
        <v>157</v>
      </c>
      <c r="C57" s="1">
        <f>I39</f>
        <v>55075.74</v>
      </c>
      <c r="E57" s="1">
        <f>C57/C61</f>
        <v>0.61150382286068694</v>
      </c>
      <c r="G57" s="37">
        <f>I32</f>
        <v>0.14630614790551633</v>
      </c>
      <c r="I57" s="37">
        <f t="shared" ref="I57" si="3">E57*G57</f>
        <v>8.9466768752244324E-2</v>
      </c>
    </row>
    <row r="58" spans="1:9" x14ac:dyDescent="0.7">
      <c r="G58" s="37"/>
      <c r="I58" s="37"/>
    </row>
    <row r="59" spans="1:9" x14ac:dyDescent="0.7">
      <c r="B59" s="1" t="s">
        <v>120</v>
      </c>
      <c r="C59" s="1">
        <f>I35</f>
        <v>34087.380000000005</v>
      </c>
      <c r="E59" s="1">
        <f>C59/C61</f>
        <v>0.37847086904878491</v>
      </c>
      <c r="G59" s="37">
        <f>I26</f>
        <v>6.4125000000000001E-2</v>
      </c>
      <c r="I59" s="37">
        <f>E59*G59</f>
        <v>2.4269444477753331E-2</v>
      </c>
    </row>
    <row r="60" spans="1:9" x14ac:dyDescent="0.7">
      <c r="I60" s="37"/>
    </row>
    <row r="61" spans="1:9" ht="17.350000000000001" thickBot="1" x14ac:dyDescent="0.75">
      <c r="A61" s="1" t="s">
        <v>84</v>
      </c>
      <c r="B61" s="14" t="s">
        <v>152</v>
      </c>
      <c r="C61" s="4">
        <f>SUM(C55:C60)</f>
        <v>90066.06</v>
      </c>
      <c r="D61" s="4"/>
      <c r="E61" s="4">
        <f>SUM(E55:E60)</f>
        <v>1</v>
      </c>
      <c r="F61" s="4"/>
      <c r="G61" s="4">
        <v>0</v>
      </c>
      <c r="H61" s="4"/>
      <c r="I61" s="79">
        <f>SUM(I55:I60)</f>
        <v>0.11520297743828883</v>
      </c>
    </row>
    <row r="62" spans="1:9" ht="17.350000000000001" thickTop="1" x14ac:dyDescent="0.7"/>
    <row r="63" spans="1:9" ht="17.350000000000001" thickBot="1" x14ac:dyDescent="0.75">
      <c r="A63" s="1" t="s">
        <v>84</v>
      </c>
      <c r="B63" s="14" t="s">
        <v>161</v>
      </c>
      <c r="C63" s="4"/>
      <c r="D63" s="4"/>
      <c r="E63" s="79">
        <f>AVERAGE(I50,I61)</f>
        <v>0.12499018919396405</v>
      </c>
    </row>
    <row r="64" spans="1:9" ht="17.350000000000001" thickTop="1" x14ac:dyDescent="0.7"/>
  </sheetData>
  <pageMargins left="0.70866141732283472" right="0.70866141732283472" top="0.74803149606299213" bottom="0.74803149606299213" header="0.31496062992125984" footer="0.31496062992125984"/>
  <pageSetup paperSize="9"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35111-8317-4030-A3AC-772D18524ECF}">
  <dimension ref="A1:X161"/>
  <sheetViews>
    <sheetView showGridLines="0" topLeftCell="A120" zoomScale="73" zoomScaleNormal="73" workbookViewId="0">
      <selection activeCell="C122" sqref="C122"/>
    </sheetView>
  </sheetViews>
  <sheetFormatPr defaultRowHeight="17" outlineLevelRow="1" x14ac:dyDescent="0.7"/>
  <cols>
    <col min="1" max="1" width="8.9375" style="1" customWidth="1"/>
    <col min="2" max="2" width="31.46875" style="1" customWidth="1"/>
    <col min="3" max="3" width="8.9375" style="1"/>
    <col min="4" max="4" width="12.9375" style="1" bestFit="1" customWidth="1"/>
    <col min="5" max="5" width="8.9375" style="1"/>
    <col min="6" max="6" width="11.64453125" style="1" customWidth="1"/>
    <col min="7" max="9" width="13" style="1" bestFit="1" customWidth="1"/>
    <col min="10" max="11" width="14" style="1" bestFit="1" customWidth="1"/>
    <col min="12" max="12" width="12.87890625" style="1" bestFit="1" customWidth="1"/>
    <col min="13" max="13" width="11.703125" style="1" bestFit="1" customWidth="1"/>
    <col min="14" max="14" width="22.8203125" style="1" bestFit="1" customWidth="1"/>
    <col min="15" max="15" width="8.9375" style="1"/>
    <col min="16" max="16" width="10.234375" style="1" bestFit="1" customWidth="1"/>
    <col min="17" max="16384" width="8.9375" style="1"/>
  </cols>
  <sheetData>
    <row r="1" spans="1:24" ht="111" customHeight="1" x14ac:dyDescent="0.7">
      <c r="B1" s="216"/>
      <c r="C1" s="216"/>
      <c r="D1" s="216"/>
      <c r="E1" s="216"/>
      <c r="F1" s="216"/>
      <c r="G1" s="216"/>
      <c r="H1" s="216"/>
      <c r="I1" s="217" t="s">
        <v>279</v>
      </c>
      <c r="J1" s="216"/>
      <c r="K1" s="216"/>
      <c r="L1" s="216"/>
      <c r="M1" s="216"/>
      <c r="N1" s="216"/>
      <c r="O1" s="216"/>
      <c r="P1" s="216"/>
      <c r="Q1" s="216"/>
    </row>
    <row r="2" spans="1:24" ht="30.35" outlineLevel="1" x14ac:dyDescent="1.2">
      <c r="A2" s="1" t="s">
        <v>84</v>
      </c>
      <c r="B2" s="5" t="s">
        <v>37</v>
      </c>
      <c r="C2" s="6"/>
      <c r="D2" s="6"/>
      <c r="E2" s="6"/>
      <c r="F2" s="6"/>
      <c r="G2" s="7"/>
      <c r="H2" s="7"/>
      <c r="I2" s="7"/>
      <c r="J2" s="7"/>
      <c r="K2" s="7"/>
      <c r="L2" s="8"/>
      <c r="M2" s="6"/>
      <c r="N2" s="6"/>
    </row>
    <row r="3" spans="1:24" outlineLevel="1" x14ac:dyDescent="0.7"/>
    <row r="4" spans="1:24" ht="34" outlineLevel="1" x14ac:dyDescent="0.7">
      <c r="B4" s="9" t="s">
        <v>38</v>
      </c>
    </row>
    <row r="5" spans="1:24" outlineLevel="1" x14ac:dyDescent="0.7">
      <c r="E5" s="1" t="s">
        <v>237</v>
      </c>
      <c r="L5" s="37"/>
      <c r="M5" s="37"/>
    </row>
    <row r="6" spans="1:24" outlineLevel="1" x14ac:dyDescent="0.7"/>
    <row r="7" spans="1:24" ht="17.350000000000001" outlineLevel="1" thickBot="1" x14ac:dyDescent="0.75">
      <c r="B7" s="11" t="s">
        <v>41</v>
      </c>
      <c r="C7" s="10"/>
      <c r="D7" s="10"/>
      <c r="E7" s="10"/>
      <c r="F7" s="10"/>
      <c r="G7" s="32" t="s">
        <v>9</v>
      </c>
      <c r="H7" s="32" t="s">
        <v>7</v>
      </c>
      <c r="I7" s="32" t="s">
        <v>8</v>
      </c>
      <c r="J7" s="32" t="s">
        <v>10</v>
      </c>
      <c r="K7" s="32" t="s">
        <v>11</v>
      </c>
      <c r="L7" s="33" t="s">
        <v>12</v>
      </c>
      <c r="M7" s="33" t="s">
        <v>13</v>
      </c>
      <c r="N7" s="34" t="s">
        <v>14</v>
      </c>
    </row>
    <row r="8" spans="1:24" outlineLevel="1" x14ac:dyDescent="0.7">
      <c r="N8" s="2"/>
    </row>
    <row r="9" spans="1:24" outlineLevel="1" x14ac:dyDescent="0.7">
      <c r="B9" s="1" t="s">
        <v>25</v>
      </c>
      <c r="G9" s="21">
        <v>12504.72</v>
      </c>
      <c r="H9" s="22">
        <v>22702.84</v>
      </c>
      <c r="I9" s="22">
        <v>30016.76</v>
      </c>
      <c r="J9" s="22">
        <v>42466.52</v>
      </c>
      <c r="K9" s="22">
        <v>51724.81</v>
      </c>
      <c r="L9" s="23">
        <f>'Scenario Drivers'!E8</f>
        <v>43870</v>
      </c>
      <c r="M9" s="23">
        <f>'Scenario Drivers'!F8</f>
        <v>52420</v>
      </c>
      <c r="N9" s="24">
        <f>M9*(1+'Scenario Drivers'!F16)</f>
        <v>65525</v>
      </c>
      <c r="Q9" s="1" t="s">
        <v>28</v>
      </c>
      <c r="S9" s="1" t="s">
        <v>29</v>
      </c>
    </row>
    <row r="10" spans="1:24" outlineLevel="1" x14ac:dyDescent="0.7">
      <c r="G10" s="25"/>
      <c r="H10" s="25"/>
      <c r="I10" s="25"/>
      <c r="J10" s="25"/>
      <c r="K10" s="25"/>
      <c r="L10" s="25"/>
      <c r="M10" s="25"/>
      <c r="N10" s="24"/>
      <c r="Q10" s="1" t="s">
        <v>27</v>
      </c>
      <c r="S10" s="1" t="s">
        <v>39</v>
      </c>
    </row>
    <row r="11" spans="1:24" outlineLevel="1" x14ac:dyDescent="0.7">
      <c r="B11" s="1" t="s">
        <v>15</v>
      </c>
      <c r="G11" s="22">
        <v>392.71</v>
      </c>
      <c r="H11" s="22">
        <v>33.18</v>
      </c>
      <c r="I11" s="22">
        <v>175.98</v>
      </c>
      <c r="J11" s="22">
        <v>82.47</v>
      </c>
      <c r="K11" s="22">
        <v>108.25</v>
      </c>
      <c r="L11" s="25">
        <f>_xlfn.FORECAST.LINEAR(L9,G11:K11,G9:K9)</f>
        <v>93.913198199148582</v>
      </c>
      <c r="M11" s="25">
        <f>_xlfn.FORECAST.LINEAR(M9,H11:L11,H9:L9)</f>
        <v>109.73281652518838</v>
      </c>
      <c r="N11" s="24">
        <f>_xlfn.FORECAST.LINEAR(N9,I11:M11,I9:M9)</f>
        <v>55.609391826126711</v>
      </c>
      <c r="Q11" s="1" t="s">
        <v>23</v>
      </c>
      <c r="S11" s="1" t="s">
        <v>24</v>
      </c>
      <c r="X11" s="1" t="s">
        <v>234</v>
      </c>
    </row>
    <row r="12" spans="1:24" outlineLevel="1" x14ac:dyDescent="0.7">
      <c r="G12" s="22"/>
      <c r="H12" s="22"/>
      <c r="I12" s="22"/>
      <c r="J12" s="22"/>
      <c r="K12" s="22"/>
      <c r="L12" s="25"/>
      <c r="M12" s="25"/>
      <c r="N12" s="24"/>
      <c r="Q12" s="1" t="s">
        <v>20</v>
      </c>
      <c r="S12" s="1" t="s">
        <v>21</v>
      </c>
      <c r="X12" s="1" t="s">
        <v>234</v>
      </c>
    </row>
    <row r="13" spans="1:24" outlineLevel="1" x14ac:dyDescent="0.7">
      <c r="B13" s="3" t="s">
        <v>16</v>
      </c>
      <c r="C13" s="3"/>
      <c r="D13" s="3"/>
      <c r="E13" s="3"/>
      <c r="F13" s="3"/>
      <c r="G13" s="26">
        <f t="shared" ref="G13:I13" si="0">SUM(G9:G12)</f>
        <v>12897.429999999998</v>
      </c>
      <c r="H13" s="26">
        <f t="shared" si="0"/>
        <v>22736.02</v>
      </c>
      <c r="I13" s="26">
        <f t="shared" si="0"/>
        <v>30192.739999999998</v>
      </c>
      <c r="J13" s="26">
        <f t="shared" ref="J13" si="1">SUM(J9:J12)</f>
        <v>42548.99</v>
      </c>
      <c r="K13" s="26">
        <f t="shared" ref="K13:N13" si="2">SUM(K9:K12)</f>
        <v>51833.06</v>
      </c>
      <c r="L13" s="27">
        <f t="shared" si="2"/>
        <v>43963.913198199145</v>
      </c>
      <c r="M13" s="27">
        <f t="shared" si="2"/>
        <v>52529.732816525189</v>
      </c>
      <c r="N13" s="28">
        <f t="shared" si="2"/>
        <v>65580.609391826132</v>
      </c>
      <c r="S13" s="1" t="s">
        <v>22</v>
      </c>
      <c r="X13" s="1" t="s">
        <v>234</v>
      </c>
    </row>
    <row r="14" spans="1:24" outlineLevel="1" x14ac:dyDescent="0.7">
      <c r="G14" s="22"/>
      <c r="H14" s="22"/>
      <c r="I14" s="22"/>
      <c r="J14" s="22"/>
      <c r="K14" s="22"/>
      <c r="L14" s="25"/>
      <c r="M14" s="25"/>
      <c r="N14" s="24"/>
      <c r="Q14" s="1" t="s">
        <v>30</v>
      </c>
      <c r="S14" s="1" t="s">
        <v>31</v>
      </c>
    </row>
    <row r="15" spans="1:24" outlineLevel="1" x14ac:dyDescent="0.7">
      <c r="B15" s="1" t="s">
        <v>26</v>
      </c>
      <c r="G15" s="22">
        <v>-3629.78</v>
      </c>
      <c r="H15" s="22">
        <v>-5502.43</v>
      </c>
      <c r="I15" s="22">
        <v>-6406.7</v>
      </c>
      <c r="J15" s="22">
        <f>-8107</f>
        <v>-8107</v>
      </c>
      <c r="K15" s="22">
        <v>-8245.68</v>
      </c>
      <c r="L15" s="25">
        <f>_xlfn.FORECAST.LINEAR(L$9,G15:K15,G$9:K$9)</f>
        <v>-7820.689057301819</v>
      </c>
      <c r="M15" s="25">
        <f t="shared" ref="M15:N15" si="3">_xlfn.FORECAST.LINEAR(M9,H15:L15,H9:L9)</f>
        <v>-8650.6815825464491</v>
      </c>
      <c r="N15" s="24">
        <f t="shared" si="3"/>
        <v>-9776.6670650714022</v>
      </c>
      <c r="Q15" s="1" t="s">
        <v>32</v>
      </c>
      <c r="S15" s="1" t="s">
        <v>33</v>
      </c>
    </row>
    <row r="16" spans="1:24" outlineLevel="1" x14ac:dyDescent="0.7">
      <c r="G16" s="22"/>
      <c r="H16" s="22"/>
      <c r="I16" s="22"/>
      <c r="J16" s="22"/>
      <c r="K16" s="22"/>
      <c r="L16" s="25"/>
      <c r="M16" s="25"/>
      <c r="N16" s="24"/>
      <c r="Q16" s="1" t="s">
        <v>34</v>
      </c>
      <c r="S16" s="1" t="s">
        <v>35</v>
      </c>
    </row>
    <row r="17" spans="2:19" outlineLevel="1" x14ac:dyDescent="0.7">
      <c r="B17" s="3" t="s">
        <v>4</v>
      </c>
      <c r="C17" s="3"/>
      <c r="D17" s="3"/>
      <c r="E17" s="3"/>
      <c r="F17" s="3"/>
      <c r="G17" s="26">
        <f t="shared" ref="G17:N17" si="4">SUM(G13:G16)</f>
        <v>9267.6499999999978</v>
      </c>
      <c r="H17" s="26">
        <f t="shared" si="4"/>
        <v>17233.59</v>
      </c>
      <c r="I17" s="26">
        <f t="shared" si="4"/>
        <v>23786.039999999997</v>
      </c>
      <c r="J17" s="26">
        <f>SUM(J13:J16)</f>
        <v>34441.99</v>
      </c>
      <c r="K17" s="26">
        <f t="shared" si="4"/>
        <v>43587.38</v>
      </c>
      <c r="L17" s="27">
        <f t="shared" si="4"/>
        <v>36143.224140897328</v>
      </c>
      <c r="M17" s="27">
        <f t="shared" si="4"/>
        <v>43879.051233978738</v>
      </c>
      <c r="N17" s="28">
        <f t="shared" si="4"/>
        <v>55803.942326754732</v>
      </c>
      <c r="Q17" s="1" t="s">
        <v>36</v>
      </c>
      <c r="S17" s="1" t="s">
        <v>92</v>
      </c>
    </row>
    <row r="18" spans="2:19" outlineLevel="1" x14ac:dyDescent="0.7">
      <c r="G18" s="22"/>
      <c r="H18" s="22"/>
      <c r="I18" s="22"/>
      <c r="J18" s="22"/>
      <c r="K18" s="22"/>
      <c r="L18" s="25"/>
      <c r="M18" s="25"/>
      <c r="N18" s="24"/>
    </row>
    <row r="19" spans="2:19" outlineLevel="1" x14ac:dyDescent="0.7">
      <c r="B19" s="1" t="s">
        <v>3</v>
      </c>
      <c r="G19" s="22">
        <f>-340.74-1644.19</f>
        <v>-1984.93</v>
      </c>
      <c r="H19" s="22">
        <f>-36.53-2753.25</f>
        <v>-2789.78</v>
      </c>
      <c r="I19" s="22">
        <f>-41.73-3914.81</f>
        <v>-3956.54</v>
      </c>
      <c r="J19" s="22">
        <f>-88.72-5370.39</f>
        <v>-5459.1100000000006</v>
      </c>
      <c r="K19" s="22">
        <f>-24.99-7717.77</f>
        <v>-7742.76</v>
      </c>
      <c r="L19" s="25">
        <f>_xlfn.FORECAST.LINEAR(L$9,G19:K19,G$9:K$9)</f>
        <v>-6117.8222878942979</v>
      </c>
      <c r="M19" s="25">
        <f>_xlfn.FORECAST.LINEAR(M$9,H19:L19,H$9:L$9)</f>
        <v>-7542.0646126827678</v>
      </c>
      <c r="N19" s="24">
        <f>_xlfn.FORECAST.LINEAR(N$9,I19:M19,I$9:M$9)</f>
        <v>-9800.9025238591603</v>
      </c>
    </row>
    <row r="20" spans="2:19" outlineLevel="1" x14ac:dyDescent="0.7">
      <c r="G20" s="22"/>
      <c r="H20" s="22"/>
      <c r="I20" s="22"/>
      <c r="J20" s="22"/>
      <c r="K20" s="22"/>
      <c r="L20" s="25"/>
      <c r="M20" s="25"/>
      <c r="N20" s="24"/>
    </row>
    <row r="21" spans="2:19" outlineLevel="1" x14ac:dyDescent="0.7">
      <c r="B21" s="3" t="s">
        <v>0</v>
      </c>
      <c r="C21" s="3"/>
      <c r="D21" s="3"/>
      <c r="E21" s="3"/>
      <c r="F21" s="3"/>
      <c r="G21" s="26">
        <f t="shared" ref="G21:J21" si="5">SUM(G17:G20)</f>
        <v>7282.7199999999975</v>
      </c>
      <c r="H21" s="26">
        <f t="shared" si="5"/>
        <v>14443.81</v>
      </c>
      <c r="I21" s="26">
        <f t="shared" si="5"/>
        <v>19829.499999999996</v>
      </c>
      <c r="J21" s="26">
        <f t="shared" si="5"/>
        <v>28982.879999999997</v>
      </c>
      <c r="K21" s="26">
        <f t="shared" ref="K21:N21" si="6">SUM(K17:K20)</f>
        <v>35844.619999999995</v>
      </c>
      <c r="L21" s="27">
        <f t="shared" si="6"/>
        <v>30025.40185300303</v>
      </c>
      <c r="M21" s="27">
        <f t="shared" si="6"/>
        <v>36336.986621295968</v>
      </c>
      <c r="N21" s="28">
        <f t="shared" si="6"/>
        <v>46003.039802895568</v>
      </c>
    </row>
    <row r="22" spans="2:19" outlineLevel="1" x14ac:dyDescent="0.7">
      <c r="G22" s="22"/>
      <c r="H22" s="22"/>
      <c r="I22" s="22"/>
      <c r="J22" s="22"/>
      <c r="K22" s="22"/>
      <c r="L22" s="25"/>
      <c r="M22" s="25"/>
      <c r="N22" s="24"/>
    </row>
    <row r="23" spans="2:19" outlineLevel="1" x14ac:dyDescent="0.7">
      <c r="B23" s="1" t="s">
        <v>18</v>
      </c>
      <c r="G23" s="22">
        <v>-2730.36</v>
      </c>
      <c r="H23" s="22">
        <v>-6334.1</v>
      </c>
      <c r="I23" s="22">
        <v>-6645.98</v>
      </c>
      <c r="J23" s="22">
        <f>-11937.7</f>
        <v>-11937.7</v>
      </c>
      <c r="K23" s="22">
        <v>-15588.87</v>
      </c>
      <c r="L23" s="25">
        <f t="shared" ref="L23:N23" si="7">_xlfn.FORECAST.LINEAR(L$9,G23:K23,G$9:K$9)</f>
        <v>-12509.339110318399</v>
      </c>
      <c r="M23" s="25">
        <f t="shared" si="7"/>
        <v>-15419.657542675588</v>
      </c>
      <c r="N23" s="24">
        <f t="shared" si="7"/>
        <v>-20979.749978759526</v>
      </c>
    </row>
    <row r="24" spans="2:19" outlineLevel="1" x14ac:dyDescent="0.7">
      <c r="G24" s="22"/>
      <c r="H24" s="22"/>
      <c r="I24" s="22"/>
      <c r="J24" s="22"/>
      <c r="K24" s="22"/>
      <c r="L24" s="25"/>
      <c r="M24" s="25"/>
      <c r="N24" s="24"/>
    </row>
    <row r="25" spans="2:19" outlineLevel="1" x14ac:dyDescent="0.7">
      <c r="B25" s="1" t="s">
        <v>19</v>
      </c>
      <c r="G25" s="22">
        <v>-174.24</v>
      </c>
      <c r="H25" s="22">
        <v>-176.79</v>
      </c>
      <c r="I25" s="22">
        <v>-293.79000000000002</v>
      </c>
      <c r="J25" s="22">
        <f>-492.73</f>
        <v>-492.73</v>
      </c>
      <c r="K25" s="22">
        <v>-995.06</v>
      </c>
      <c r="L25" s="25">
        <f t="shared" ref="L25:M25" si="8">_xlfn.FORECAST.LINEAR(L$59,G25:K25,G$59:K$59)</f>
        <v>-660.09025871002927</v>
      </c>
      <c r="M25" s="25">
        <f t="shared" si="8"/>
        <v>-876.39044674107674</v>
      </c>
      <c r="N25" s="24">
        <f t="shared" ref="N25" si="9">M25</f>
        <v>-876.39044674107674</v>
      </c>
    </row>
    <row r="26" spans="2:19" outlineLevel="1" x14ac:dyDescent="0.7">
      <c r="G26" s="22"/>
      <c r="H26" s="22"/>
      <c r="I26" s="22"/>
      <c r="J26" s="22"/>
      <c r="K26" s="22"/>
      <c r="L26" s="25"/>
      <c r="M26" s="25"/>
      <c r="N26" s="24"/>
    </row>
    <row r="27" spans="2:19" outlineLevel="1" x14ac:dyDescent="0.7">
      <c r="B27" s="3" t="s">
        <v>1</v>
      </c>
      <c r="C27" s="3"/>
      <c r="D27" s="3"/>
      <c r="E27" s="3"/>
      <c r="F27" s="3"/>
      <c r="G27" s="26">
        <f t="shared" ref="G27:J27" si="10">SUM(G21:G26)</f>
        <v>4378.1199999999972</v>
      </c>
      <c r="H27" s="26">
        <f t="shared" si="10"/>
        <v>7932.9199999999992</v>
      </c>
      <c r="I27" s="26">
        <f t="shared" si="10"/>
        <v>12889.729999999996</v>
      </c>
      <c r="J27" s="26">
        <f t="shared" si="10"/>
        <v>16552.449999999997</v>
      </c>
      <c r="K27" s="26">
        <f t="shared" ref="K27:N27" si="11">SUM(K21:K26)</f>
        <v>19260.689999999991</v>
      </c>
      <c r="L27" s="27">
        <f t="shared" si="11"/>
        <v>16855.972483974605</v>
      </c>
      <c r="M27" s="27">
        <f t="shared" si="11"/>
        <v>20040.938631879304</v>
      </c>
      <c r="N27" s="28">
        <f t="shared" si="11"/>
        <v>24146.899377394966</v>
      </c>
    </row>
    <row r="28" spans="2:19" outlineLevel="1" x14ac:dyDescent="0.7">
      <c r="G28" s="22"/>
      <c r="H28" s="22"/>
      <c r="I28" s="22"/>
      <c r="J28" s="22"/>
      <c r="K28" s="22"/>
      <c r="L28" s="25"/>
      <c r="M28" s="25"/>
      <c r="N28" s="24"/>
    </row>
    <row r="29" spans="2:19" outlineLevel="1" x14ac:dyDescent="0.7">
      <c r="B29" s="1" t="s">
        <v>2</v>
      </c>
      <c r="G29" s="22">
        <v>-396.33</v>
      </c>
      <c r="H29" s="22">
        <v>-702.25</v>
      </c>
      <c r="I29" s="22">
        <v>-902.58</v>
      </c>
      <c r="J29" s="22">
        <v>-1367.24</v>
      </c>
      <c r="K29" s="22">
        <v>-2916.51</v>
      </c>
      <c r="L29" s="25">
        <f t="shared" ref="L29:N29" si="12">K29</f>
        <v>-2916.51</v>
      </c>
      <c r="M29" s="25">
        <f t="shared" si="12"/>
        <v>-2916.51</v>
      </c>
      <c r="N29" s="24">
        <f t="shared" si="12"/>
        <v>-2916.51</v>
      </c>
    </row>
    <row r="30" spans="2:19" outlineLevel="1" x14ac:dyDescent="0.7">
      <c r="G30" s="22"/>
      <c r="H30" s="22"/>
      <c r="I30" s="22"/>
      <c r="J30" s="22"/>
      <c r="K30" s="22"/>
      <c r="L30" s="25"/>
      <c r="M30" s="25"/>
      <c r="N30" s="24"/>
    </row>
    <row r="31" spans="2:19" outlineLevel="1" x14ac:dyDescent="0.7">
      <c r="B31" s="3" t="s">
        <v>5</v>
      </c>
      <c r="C31" s="3"/>
      <c r="D31" s="3"/>
      <c r="E31" s="3"/>
      <c r="F31" s="3"/>
      <c r="G31" s="26">
        <f t="shared" ref="G31:I31" si="13">SUM(G27:G30)</f>
        <v>3981.7899999999972</v>
      </c>
      <c r="H31" s="26">
        <f t="shared" si="13"/>
        <v>7230.6699999999992</v>
      </c>
      <c r="I31" s="26">
        <f t="shared" si="13"/>
        <v>11987.149999999996</v>
      </c>
      <c r="J31" s="26">
        <f>SUM(J27:J30)</f>
        <v>15185.209999999997</v>
      </c>
      <c r="K31" s="26">
        <f t="shared" ref="K31:N31" si="14">SUM(K27:K30)</f>
        <v>16344.179999999991</v>
      </c>
      <c r="L31" s="27">
        <f t="shared" si="14"/>
        <v>13939.462483974605</v>
      </c>
      <c r="M31" s="27">
        <f t="shared" si="14"/>
        <v>17124.428631879302</v>
      </c>
      <c r="N31" s="28">
        <f t="shared" si="14"/>
        <v>21230.389377394968</v>
      </c>
    </row>
    <row r="32" spans="2:19" outlineLevel="1" x14ac:dyDescent="0.7">
      <c r="G32" s="22"/>
      <c r="H32" s="22"/>
      <c r="I32" s="22"/>
      <c r="J32" s="22"/>
      <c r="K32" s="22"/>
      <c r="L32" s="25"/>
      <c r="M32" s="25"/>
      <c r="N32" s="24"/>
    </row>
    <row r="33" spans="1:15" outlineLevel="1" x14ac:dyDescent="0.7">
      <c r="B33" s="1" t="s">
        <v>6</v>
      </c>
      <c r="G33" s="22">
        <v>-1077.82</v>
      </c>
      <c r="H33" s="22">
        <v>-2081.8000000000002</v>
      </c>
      <c r="I33" s="22">
        <v>-2993.73</v>
      </c>
      <c r="J33" s="22">
        <v>-3854.54</v>
      </c>
      <c r="K33" s="22">
        <v>-4184.72</v>
      </c>
      <c r="L33" s="25">
        <f>L31*-'Scenario Drivers'!E24</f>
        <v>-3484.8656209936512</v>
      </c>
      <c r="M33" s="25">
        <f>M31*-'Scenario Drivers'!F24</f>
        <v>-4281.1071579698255</v>
      </c>
      <c r="N33" s="24">
        <f t="shared" ref="N33" si="15">N31*-0.25</f>
        <v>-5307.5973443487419</v>
      </c>
    </row>
    <row r="34" spans="1:15" outlineLevel="1" x14ac:dyDescent="0.7">
      <c r="G34" s="22"/>
      <c r="H34" s="22"/>
      <c r="I34" s="22"/>
      <c r="J34" s="22"/>
      <c r="K34" s="22"/>
      <c r="L34" s="25"/>
      <c r="M34" s="25"/>
      <c r="N34" s="24"/>
    </row>
    <row r="35" spans="1:15" ht="17.350000000000001" outlineLevel="1" thickBot="1" x14ac:dyDescent="0.75">
      <c r="A35" s="1" t="s">
        <v>84</v>
      </c>
      <c r="B35" s="4" t="s">
        <v>17</v>
      </c>
      <c r="C35" s="4"/>
      <c r="D35" s="4"/>
      <c r="E35" s="4"/>
      <c r="F35" s="4"/>
      <c r="G35" s="29">
        <f t="shared" ref="G35:I35" si="16">SUM(G31:G34)</f>
        <v>2903.9699999999975</v>
      </c>
      <c r="H35" s="29">
        <f t="shared" si="16"/>
        <v>5148.869999999999</v>
      </c>
      <c r="I35" s="29">
        <f t="shared" si="16"/>
        <v>8993.4199999999964</v>
      </c>
      <c r="J35" s="29">
        <f>SUM(J31:J34)</f>
        <v>11330.669999999998</v>
      </c>
      <c r="K35" s="29">
        <f t="shared" ref="K35:N35" si="17">SUM(K31:K34)</f>
        <v>12159.459999999992</v>
      </c>
      <c r="L35" s="30">
        <f t="shared" si="17"/>
        <v>10454.596862980954</v>
      </c>
      <c r="M35" s="30">
        <f t="shared" si="17"/>
        <v>12843.321473909476</v>
      </c>
      <c r="N35" s="31">
        <f t="shared" si="17"/>
        <v>15922.792033046226</v>
      </c>
    </row>
    <row r="36" spans="1:15" ht="17.350000000000001" outlineLevel="1" thickTop="1" x14ac:dyDescent="0.7"/>
    <row r="38" spans="1:15" ht="30.35" outlineLevel="1" x14ac:dyDescent="1.2">
      <c r="A38" s="1" t="s">
        <v>84</v>
      </c>
      <c r="B38" s="5" t="s">
        <v>40</v>
      </c>
      <c r="C38" s="6"/>
      <c r="D38" s="6"/>
      <c r="E38" s="6"/>
      <c r="F38" s="6"/>
      <c r="G38" s="7"/>
      <c r="H38" s="7"/>
      <c r="I38" s="7"/>
      <c r="J38" s="7"/>
      <c r="K38" s="7"/>
      <c r="L38" s="8"/>
      <c r="M38" s="6"/>
      <c r="N38" s="6"/>
    </row>
    <row r="39" spans="1:15" outlineLevel="1" x14ac:dyDescent="0.7"/>
    <row r="40" spans="1:15" ht="34" outlineLevel="1" x14ac:dyDescent="0.7">
      <c r="B40" s="9" t="s">
        <v>38</v>
      </c>
    </row>
    <row r="41" spans="1:15" outlineLevel="1" x14ac:dyDescent="0.7"/>
    <row r="42" spans="1:15" ht="17.350000000000001" outlineLevel="1" thickBot="1" x14ac:dyDescent="0.75">
      <c r="B42" s="11" t="s">
        <v>41</v>
      </c>
      <c r="C42" s="10"/>
      <c r="D42" s="10"/>
      <c r="E42" s="10"/>
      <c r="F42" s="10"/>
      <c r="G42" s="32" t="s">
        <v>9</v>
      </c>
      <c r="H42" s="32" t="s">
        <v>7</v>
      </c>
      <c r="I42" s="32" t="s">
        <v>8</v>
      </c>
      <c r="J42" s="32" t="s">
        <v>10</v>
      </c>
      <c r="K42" s="32" t="s">
        <v>11</v>
      </c>
      <c r="L42" s="33" t="s">
        <v>12</v>
      </c>
      <c r="M42" s="35" t="s">
        <v>13</v>
      </c>
    </row>
    <row r="43" spans="1:15" outlineLevel="1" x14ac:dyDescent="0.7">
      <c r="M43" s="15"/>
    </row>
    <row r="44" spans="1:15" ht="17.350000000000001" outlineLevel="1" thickBot="1" x14ac:dyDescent="0.75">
      <c r="B44" s="11" t="s">
        <v>42</v>
      </c>
      <c r="M44" s="15"/>
    </row>
    <row r="45" spans="1:15" outlineLevel="1" x14ac:dyDescent="0.7">
      <c r="M45" s="15"/>
    </row>
    <row r="46" spans="1:15" outlineLevel="1" x14ac:dyDescent="0.7">
      <c r="B46" s="12" t="s">
        <v>48</v>
      </c>
      <c r="M46" s="15"/>
    </row>
    <row r="47" spans="1:15" outlineLevel="1" x14ac:dyDescent="0.7">
      <c r="B47" s="1" t="s">
        <v>43</v>
      </c>
      <c r="G47" s="19">
        <v>5764.03</v>
      </c>
      <c r="H47" s="19">
        <v>4202.2299999999996</v>
      </c>
      <c r="I47" s="19">
        <v>1312.15</v>
      </c>
      <c r="J47" s="19">
        <v>7871.79</v>
      </c>
      <c r="K47" s="19">
        <v>5900.28</v>
      </c>
      <c r="L47" s="1">
        <f t="shared" ref="L47" si="18">$K47</f>
        <v>5900.28</v>
      </c>
      <c r="M47" s="15">
        <f>$K47</f>
        <v>5900.28</v>
      </c>
      <c r="O47" s="1" t="s">
        <v>88</v>
      </c>
    </row>
    <row r="48" spans="1:15" outlineLevel="1" x14ac:dyDescent="0.7">
      <c r="B48" s="1" t="s">
        <v>44</v>
      </c>
      <c r="G48" s="19">
        <v>12746.49</v>
      </c>
      <c r="H48" s="19">
        <v>44517.74</v>
      </c>
      <c r="I48" s="19">
        <v>53512.81</v>
      </c>
      <c r="J48" s="19">
        <v>87136.24</v>
      </c>
      <c r="K48" s="19">
        <v>109615.67999999999</v>
      </c>
      <c r="L48" s="1">
        <v>112796.20961622579</v>
      </c>
      <c r="M48" s="15">
        <v>136687.36598725431</v>
      </c>
      <c r="O48" s="1" t="s">
        <v>96</v>
      </c>
    </row>
    <row r="49" spans="2:19" outlineLevel="1" x14ac:dyDescent="0.7">
      <c r="B49" s="1" t="s">
        <v>45</v>
      </c>
      <c r="G49" s="19">
        <v>2272.79</v>
      </c>
      <c r="H49" s="19">
        <v>5644.59</v>
      </c>
      <c r="I49" s="19">
        <v>3720.9</v>
      </c>
      <c r="J49" s="19">
        <v>4850.8500000000004</v>
      </c>
      <c r="K49" s="19">
        <v>2936.07</v>
      </c>
      <c r="L49" s="1">
        <f>_xlfn.FORECAST.LINEAR(L$9,G49:K49,G$9:K$9)</f>
        <v>3969.0161693311429</v>
      </c>
      <c r="M49" s="15">
        <f>_xlfn.FORECAST.LINEAR(M$9,H49:L49,H$9:L$9)</f>
        <v>3324.5097366588493</v>
      </c>
      <c r="O49" s="1" t="s">
        <v>89</v>
      </c>
      <c r="S49" s="1" t="s">
        <v>31</v>
      </c>
    </row>
    <row r="50" spans="2:19" outlineLevel="1" x14ac:dyDescent="0.7">
      <c r="B50" s="1" t="s">
        <v>46</v>
      </c>
      <c r="G50" s="19">
        <v>10632.76</v>
      </c>
      <c r="H50" s="19">
        <v>12703.62</v>
      </c>
      <c r="I50" s="19">
        <v>10051.94</v>
      </c>
      <c r="J50" s="19">
        <v>14841.23</v>
      </c>
      <c r="K50" s="19">
        <v>36987.75</v>
      </c>
      <c r="L50" s="1">
        <f t="shared" ref="L50:M52" si="19">$K50</f>
        <v>36987.75</v>
      </c>
      <c r="M50" s="15">
        <f>$K50</f>
        <v>36987.75</v>
      </c>
      <c r="O50" s="1" t="s">
        <v>88</v>
      </c>
    </row>
    <row r="51" spans="2:19" outlineLevel="1" x14ac:dyDescent="0.7">
      <c r="B51" s="1" t="s">
        <v>47</v>
      </c>
      <c r="G51" s="19">
        <v>829.79</v>
      </c>
      <c r="H51" s="19">
        <v>830.29</v>
      </c>
      <c r="I51" s="19">
        <v>830.27</v>
      </c>
      <c r="J51" s="19">
        <v>4329.37</v>
      </c>
      <c r="K51" s="19">
        <v>4351.2299999999996</v>
      </c>
      <c r="L51" s="1">
        <f t="shared" si="19"/>
        <v>4351.2299999999996</v>
      </c>
      <c r="M51" s="15">
        <f t="shared" si="19"/>
        <v>4351.2299999999996</v>
      </c>
      <c r="O51" s="1" t="s">
        <v>88</v>
      </c>
    </row>
    <row r="52" spans="2:19" outlineLevel="1" x14ac:dyDescent="0.7">
      <c r="B52" s="1" t="s">
        <v>49</v>
      </c>
      <c r="G52" s="19">
        <v>14272.98</v>
      </c>
      <c r="H52" s="19">
        <v>1930.69</v>
      </c>
      <c r="I52" s="19">
        <v>1838.42</v>
      </c>
      <c r="J52" s="19">
        <v>8476.91</v>
      </c>
      <c r="K52" s="19">
        <v>1938.82</v>
      </c>
      <c r="L52" s="1">
        <f t="shared" si="19"/>
        <v>1938.82</v>
      </c>
      <c r="M52" s="15">
        <f t="shared" si="19"/>
        <v>1938.82</v>
      </c>
      <c r="O52" s="1" t="s">
        <v>88</v>
      </c>
    </row>
    <row r="53" spans="2:19" outlineLevel="1" x14ac:dyDescent="0.7">
      <c r="B53" s="13" t="s">
        <v>50</v>
      </c>
      <c r="C53" s="3"/>
      <c r="D53" s="3"/>
      <c r="E53" s="3"/>
      <c r="F53" s="3"/>
      <c r="G53" s="3">
        <f t="shared" ref="G53:K53" si="20">SUM(G47:G52)</f>
        <v>46518.84</v>
      </c>
      <c r="H53" s="3">
        <f t="shared" si="20"/>
        <v>69829.159999999989</v>
      </c>
      <c r="I53" s="3">
        <f t="shared" si="20"/>
        <v>71266.490000000005</v>
      </c>
      <c r="J53" s="3">
        <f t="shared" si="20"/>
        <v>127506.39</v>
      </c>
      <c r="K53" s="3">
        <f t="shared" si="20"/>
        <v>161729.83000000002</v>
      </c>
      <c r="L53" s="3">
        <f>SUM(L47:L52)</f>
        <v>165943.30578555694</v>
      </c>
      <c r="M53" s="16">
        <f>SUM(M47:M52)</f>
        <v>189189.95572391318</v>
      </c>
    </row>
    <row r="54" spans="2:19" outlineLevel="1" x14ac:dyDescent="0.7">
      <c r="M54" s="15"/>
    </row>
    <row r="55" spans="2:19" outlineLevel="1" x14ac:dyDescent="0.7">
      <c r="B55" s="12" t="s">
        <v>51</v>
      </c>
      <c r="M55" s="15"/>
    </row>
    <row r="56" spans="2:19" outlineLevel="1" x14ac:dyDescent="0.7">
      <c r="B56" s="1" t="s">
        <v>75</v>
      </c>
      <c r="G56" s="19">
        <v>68.209999999999994</v>
      </c>
      <c r="H56" s="19">
        <v>49.9</v>
      </c>
      <c r="I56" s="1">
        <v>0</v>
      </c>
      <c r="J56" s="1">
        <v>0</v>
      </c>
      <c r="K56" s="1">
        <v>0</v>
      </c>
      <c r="L56" s="1">
        <f t="shared" ref="L56:M58" si="21">$K56</f>
        <v>0</v>
      </c>
      <c r="M56" s="15">
        <f t="shared" si="21"/>
        <v>0</v>
      </c>
      <c r="O56" s="1" t="s">
        <v>88</v>
      </c>
    </row>
    <row r="57" spans="2:19" outlineLevel="1" x14ac:dyDescent="0.7">
      <c r="B57" s="1" t="s">
        <v>76</v>
      </c>
      <c r="G57" s="19">
        <v>0</v>
      </c>
      <c r="H57" s="1">
        <v>0</v>
      </c>
      <c r="I57" s="19">
        <v>0</v>
      </c>
      <c r="J57" s="19">
        <v>65.95</v>
      </c>
      <c r="K57" s="19">
        <v>53.72</v>
      </c>
      <c r="L57" s="1">
        <f t="shared" si="21"/>
        <v>53.72</v>
      </c>
      <c r="M57" s="15">
        <f t="shared" si="21"/>
        <v>53.72</v>
      </c>
      <c r="O57" s="1" t="s">
        <v>88</v>
      </c>
    </row>
    <row r="58" spans="2:19" outlineLevel="1" x14ac:dyDescent="0.7">
      <c r="B58" s="1" t="s">
        <v>77</v>
      </c>
      <c r="G58" s="19">
        <v>33.94</v>
      </c>
      <c r="H58" s="19">
        <v>33.36</v>
      </c>
      <c r="I58" s="19">
        <v>32.78</v>
      </c>
      <c r="J58" s="19">
        <v>32.299999999999997</v>
      </c>
      <c r="K58" s="19">
        <v>31.62</v>
      </c>
      <c r="L58" s="1">
        <f t="shared" si="21"/>
        <v>31.62</v>
      </c>
      <c r="M58" s="15">
        <f t="shared" si="21"/>
        <v>31.62</v>
      </c>
      <c r="O58" s="1" t="s">
        <v>88</v>
      </c>
    </row>
    <row r="59" spans="2:19" outlineLevel="1" x14ac:dyDescent="0.7">
      <c r="B59" s="1" t="s">
        <v>78</v>
      </c>
      <c r="G59" s="19">
        <v>859.16</v>
      </c>
      <c r="H59" s="19">
        <v>1267.76</v>
      </c>
      <c r="I59" s="19">
        <v>1339.34</v>
      </c>
      <c r="J59" s="19">
        <v>3373.99</v>
      </c>
      <c r="K59" s="19">
        <v>4062.23</v>
      </c>
      <c r="L59" s="1">
        <f>_xlfn.FORECAST.LINEAR(L$9,G59:K59,G$9:K$9)</f>
        <v>3238.4559976333403</v>
      </c>
      <c r="M59" s="15">
        <f>_xlfn.FORECAST.LINEAR(M$9,H59:L59,H$9:L$9)</f>
        <v>4178.6627559200679</v>
      </c>
      <c r="O59" s="1" t="s">
        <v>85</v>
      </c>
      <c r="S59" s="1" t="s">
        <v>31</v>
      </c>
    </row>
    <row r="60" spans="2:19" outlineLevel="1" x14ac:dyDescent="0.7">
      <c r="B60" s="1" t="s">
        <v>79</v>
      </c>
      <c r="G60" s="19">
        <v>54.41</v>
      </c>
      <c r="H60" s="19">
        <v>15.36</v>
      </c>
      <c r="I60" s="19">
        <v>37.200000000000003</v>
      </c>
      <c r="J60" s="19">
        <v>54.24</v>
      </c>
      <c r="K60" s="19">
        <v>251.13</v>
      </c>
      <c r="L60" s="1">
        <f>$K60</f>
        <v>251.13</v>
      </c>
      <c r="M60" s="15">
        <f t="shared" ref="L60:M61" si="22">$K60</f>
        <v>251.13</v>
      </c>
      <c r="O60" s="1" t="s">
        <v>88</v>
      </c>
    </row>
    <row r="61" spans="2:19" outlineLevel="1" x14ac:dyDescent="0.7">
      <c r="B61" s="1" t="s">
        <v>80</v>
      </c>
      <c r="G61" s="19">
        <v>0</v>
      </c>
      <c r="H61" s="19">
        <v>0</v>
      </c>
      <c r="I61" s="19">
        <v>615.23</v>
      </c>
      <c r="J61" s="19">
        <v>0</v>
      </c>
      <c r="K61" s="19">
        <v>0</v>
      </c>
      <c r="L61" s="1">
        <f t="shared" si="22"/>
        <v>0</v>
      </c>
      <c r="M61" s="15">
        <f t="shared" si="22"/>
        <v>0</v>
      </c>
      <c r="O61" s="1" t="s">
        <v>88</v>
      </c>
    </row>
    <row r="62" spans="2:19" outlineLevel="1" x14ac:dyDescent="0.7">
      <c r="B62" s="1" t="s">
        <v>81</v>
      </c>
      <c r="G62" s="19">
        <v>1.83</v>
      </c>
      <c r="H62" s="19">
        <v>119.96</v>
      </c>
      <c r="I62" s="19">
        <v>1.08</v>
      </c>
      <c r="J62" s="19">
        <v>2.0299999999999998</v>
      </c>
      <c r="K62" s="19">
        <v>5.88</v>
      </c>
      <c r="L62" s="1">
        <f>IF(_xlfn.FORECAST.LINEAR(L$9,G62:K62,G$9:K$9)&lt;0,0,_xlfn.FORECAST.LINEAR(L$9,G62:K62,G$9:K$9))</f>
        <v>13.778119693101466</v>
      </c>
      <c r="M62" s="15">
        <f>IF(_xlfn.FORECAST.LINEAR(M$9,H62:L62,H$9:L$9)&lt;0,0,_xlfn.FORECAST.LINEAR(M$9,H62:L62,H$9:L$9))</f>
        <v>0</v>
      </c>
      <c r="O62" s="1" t="s">
        <v>86</v>
      </c>
      <c r="S62" s="1" t="s">
        <v>91</v>
      </c>
    </row>
    <row r="63" spans="2:19" outlineLevel="1" x14ac:dyDescent="0.7">
      <c r="B63" s="1" t="s">
        <v>82</v>
      </c>
      <c r="G63" s="19">
        <v>53.62</v>
      </c>
      <c r="H63" s="19">
        <v>64.819999999999993</v>
      </c>
      <c r="I63" s="19">
        <v>330.72</v>
      </c>
      <c r="J63" s="19">
        <v>492.52</v>
      </c>
      <c r="K63" s="19">
        <v>407.75</v>
      </c>
      <c r="L63" s="1">
        <f>_xlfn.FORECAST.LINEAR(L$9,G63:K63,G$9:K$9)</f>
        <v>406.60031389362018</v>
      </c>
      <c r="M63" s="15">
        <f>_xlfn.FORECAST.LINEAR(M$9,H63:L63,H$9:L$9)</f>
        <v>506.38272846149147</v>
      </c>
      <c r="O63" s="1" t="s">
        <v>87</v>
      </c>
      <c r="S63" s="1" t="s">
        <v>31</v>
      </c>
    </row>
    <row r="64" spans="2:19" outlineLevel="1" x14ac:dyDescent="0.7">
      <c r="B64" s="1" t="s">
        <v>83</v>
      </c>
      <c r="G64" s="19">
        <v>232.19</v>
      </c>
      <c r="H64" s="19">
        <v>396.84</v>
      </c>
      <c r="I64" s="19">
        <v>602.59</v>
      </c>
      <c r="J64" s="19">
        <v>1678.85</v>
      </c>
      <c r="K64" s="19">
        <v>1687.92</v>
      </c>
      <c r="L64" s="1">
        <f t="shared" ref="L64:M64" si="23">$K64</f>
        <v>1687.92</v>
      </c>
      <c r="M64" s="15">
        <f t="shared" si="23"/>
        <v>1687.92</v>
      </c>
      <c r="O64" s="1" t="s">
        <v>88</v>
      </c>
    </row>
    <row r="65" spans="2:19" outlineLevel="1" x14ac:dyDescent="0.7">
      <c r="B65" s="13" t="s">
        <v>52</v>
      </c>
      <c r="C65" s="3"/>
      <c r="D65" s="3"/>
      <c r="E65" s="3"/>
      <c r="F65" s="3"/>
      <c r="G65" s="3">
        <f>SUM(G56:G64)</f>
        <v>1303.3599999999999</v>
      </c>
      <c r="H65" s="3">
        <f>SUM(H56:H64)</f>
        <v>1947.9999999999998</v>
      </c>
      <c r="I65" s="3">
        <f t="shared" ref="I65:M65" si="24">SUM(I56:I64)</f>
        <v>2958.94</v>
      </c>
      <c r="J65" s="3">
        <f t="shared" si="24"/>
        <v>5699.8799999999992</v>
      </c>
      <c r="K65" s="3">
        <f t="shared" si="24"/>
        <v>6500.25</v>
      </c>
      <c r="L65" s="3">
        <f t="shared" si="24"/>
        <v>5683.2244312200619</v>
      </c>
      <c r="M65" s="16">
        <f t="shared" si="24"/>
        <v>6709.4354843815599</v>
      </c>
    </row>
    <row r="66" spans="2:19" outlineLevel="1" x14ac:dyDescent="0.7">
      <c r="M66" s="15"/>
    </row>
    <row r="67" spans="2:19" ht="17.350000000000001" outlineLevel="1" thickBot="1" x14ac:dyDescent="0.75">
      <c r="B67" s="14" t="s">
        <v>53</v>
      </c>
      <c r="C67" s="4"/>
      <c r="D67" s="4"/>
      <c r="E67" s="4"/>
      <c r="F67" s="4"/>
      <c r="G67" s="4">
        <f t="shared" ref="G67:K67" si="25">G53+G65</f>
        <v>47822.2</v>
      </c>
      <c r="H67" s="4">
        <f t="shared" si="25"/>
        <v>71777.159999999989</v>
      </c>
      <c r="I67" s="4">
        <f t="shared" si="25"/>
        <v>74225.430000000008</v>
      </c>
      <c r="J67" s="4">
        <f t="shared" si="25"/>
        <v>133206.26999999999</v>
      </c>
      <c r="K67" s="4">
        <f t="shared" si="25"/>
        <v>168230.08000000002</v>
      </c>
      <c r="L67" s="4">
        <f>L53+L65</f>
        <v>171626.530216777</v>
      </c>
      <c r="M67" s="17">
        <f>M53+M65</f>
        <v>195899.39120829475</v>
      </c>
    </row>
    <row r="68" spans="2:19" ht="17.350000000000001" outlineLevel="1" thickTop="1" x14ac:dyDescent="0.7">
      <c r="M68" s="18"/>
    </row>
    <row r="69" spans="2:19" ht="17.350000000000001" outlineLevel="1" thickBot="1" x14ac:dyDescent="0.75">
      <c r="B69" s="11" t="s">
        <v>54</v>
      </c>
      <c r="M69" s="15"/>
    </row>
    <row r="70" spans="2:19" outlineLevel="1" x14ac:dyDescent="0.7">
      <c r="B70" s="12"/>
      <c r="M70" s="15"/>
    </row>
    <row r="71" spans="2:19" outlineLevel="1" x14ac:dyDescent="0.7">
      <c r="B71" s="12" t="s">
        <v>62</v>
      </c>
      <c r="M71" s="15"/>
    </row>
    <row r="72" spans="2:19" outlineLevel="1" x14ac:dyDescent="0.7">
      <c r="B72" s="12" t="s">
        <v>55</v>
      </c>
      <c r="M72" s="15"/>
    </row>
    <row r="73" spans="2:19" outlineLevel="1" x14ac:dyDescent="0.7">
      <c r="B73" s="1" t="s">
        <v>56</v>
      </c>
      <c r="G73" s="19">
        <v>22763.81</v>
      </c>
      <c r="H73" s="19">
        <v>40668.1</v>
      </c>
      <c r="I73" s="19">
        <v>40714.149999999994</v>
      </c>
      <c r="J73" s="19">
        <v>71963.819999999992</v>
      </c>
      <c r="K73" s="19">
        <v>73169.179999999993</v>
      </c>
      <c r="L73" s="1">
        <f t="shared" ref="L73" si="26">_xlfn.FORECAST.LINEAR(L$9,G73:K73,G$9:K$9)</f>
        <v>66221.57685435802</v>
      </c>
      <c r="M73" s="15">
        <f>_xlfn.FORECAST.LINEAR(M$9,H73:L73,H$9:L$9)</f>
        <v>77592.244004293665</v>
      </c>
      <c r="O73" s="1" t="s">
        <v>90</v>
      </c>
      <c r="S73" s="1" t="s">
        <v>31</v>
      </c>
    </row>
    <row r="74" spans="2:19" outlineLevel="1" x14ac:dyDescent="0.7">
      <c r="B74" s="1" t="s">
        <v>57</v>
      </c>
      <c r="G74" s="19">
        <v>0</v>
      </c>
      <c r="H74" s="19">
        <v>245.67</v>
      </c>
      <c r="I74" s="19">
        <v>278.27999999999997</v>
      </c>
      <c r="J74" s="19">
        <v>1330.56</v>
      </c>
      <c r="K74" s="19">
        <v>8743.25</v>
      </c>
      <c r="L74" s="1">
        <f t="shared" ref="L74" si="27">$K74</f>
        <v>8743.25</v>
      </c>
      <c r="M74" s="15">
        <f t="shared" ref="M74:M77" si="28">$K74</f>
        <v>8743.25</v>
      </c>
      <c r="O74" s="1" t="s">
        <v>88</v>
      </c>
    </row>
    <row r="75" spans="2:19" outlineLevel="1" x14ac:dyDescent="0.7">
      <c r="B75" s="1" t="s">
        <v>58</v>
      </c>
      <c r="G75" s="19">
        <v>11713.79</v>
      </c>
      <c r="H75" s="19">
        <v>12329.83</v>
      </c>
      <c r="I75" s="19">
        <v>7561.24</v>
      </c>
      <c r="J75" s="19">
        <v>25195.22</v>
      </c>
      <c r="K75" s="19">
        <v>25085.05</v>
      </c>
      <c r="L75" s="1">
        <f t="shared" ref="L75:L77" si="29">$K75</f>
        <v>25085.05</v>
      </c>
      <c r="M75" s="15">
        <f t="shared" si="28"/>
        <v>25085.05</v>
      </c>
      <c r="O75" s="1" t="s">
        <v>88</v>
      </c>
    </row>
    <row r="76" spans="2:19" outlineLevel="1" x14ac:dyDescent="0.7">
      <c r="B76" s="1" t="s">
        <v>59</v>
      </c>
      <c r="G76" s="19">
        <v>0</v>
      </c>
      <c r="H76" s="19">
        <v>0</v>
      </c>
      <c r="I76" s="19">
        <v>38.31</v>
      </c>
      <c r="J76" s="19">
        <v>56.58</v>
      </c>
      <c r="K76" s="19">
        <v>259.08</v>
      </c>
      <c r="L76" s="1">
        <f t="shared" si="29"/>
        <v>259.08</v>
      </c>
      <c r="M76" s="15">
        <f t="shared" si="28"/>
        <v>259.08</v>
      </c>
      <c r="O76" s="1" t="s">
        <v>88</v>
      </c>
    </row>
    <row r="77" spans="2:19" outlineLevel="1" x14ac:dyDescent="0.7">
      <c r="B77" s="1" t="s">
        <v>60</v>
      </c>
      <c r="G77" s="19">
        <v>1785.75</v>
      </c>
      <c r="H77" s="19">
        <v>2513.65</v>
      </c>
      <c r="I77" s="19">
        <v>3843.13</v>
      </c>
      <c r="J77" s="19">
        <v>3957.98</v>
      </c>
      <c r="K77" s="19">
        <v>3922.04</v>
      </c>
      <c r="L77" s="1">
        <f t="shared" si="29"/>
        <v>3922.04</v>
      </c>
      <c r="M77" s="15">
        <f t="shared" si="28"/>
        <v>3922.04</v>
      </c>
      <c r="O77" s="1" t="s">
        <v>88</v>
      </c>
    </row>
    <row r="78" spans="2:19" outlineLevel="1" x14ac:dyDescent="0.7">
      <c r="B78" s="13" t="s">
        <v>61</v>
      </c>
      <c r="C78" s="3"/>
      <c r="D78" s="3"/>
      <c r="E78" s="3"/>
      <c r="F78" s="3"/>
      <c r="G78" s="3">
        <f t="shared" ref="G78:M78" si="30">SUM(G73:G77)</f>
        <v>36263.350000000006</v>
      </c>
      <c r="H78" s="3">
        <f t="shared" si="30"/>
        <v>55757.25</v>
      </c>
      <c r="I78" s="3">
        <f t="shared" si="30"/>
        <v>52435.109999999986</v>
      </c>
      <c r="J78" s="3">
        <f t="shared" si="30"/>
        <v>102504.15999999999</v>
      </c>
      <c r="K78" s="3">
        <f t="shared" si="30"/>
        <v>111178.59999999999</v>
      </c>
      <c r="L78" s="3">
        <f t="shared" si="30"/>
        <v>104230.99685435802</v>
      </c>
      <c r="M78" s="16">
        <f t="shared" si="30"/>
        <v>115601.66400429366</v>
      </c>
    </row>
    <row r="79" spans="2:19" outlineLevel="1" x14ac:dyDescent="0.7">
      <c r="M79" s="15"/>
    </row>
    <row r="80" spans="2:19" outlineLevel="1" x14ac:dyDescent="0.7">
      <c r="B80" s="12" t="s">
        <v>63</v>
      </c>
      <c r="M80" s="15"/>
    </row>
    <row r="81" spans="1:19" outlineLevel="1" x14ac:dyDescent="0.7">
      <c r="B81" s="20" t="s">
        <v>71</v>
      </c>
      <c r="C81" s="19"/>
      <c r="D81" s="19"/>
      <c r="E81" s="19"/>
      <c r="F81" s="19"/>
      <c r="G81" s="19">
        <v>113.96</v>
      </c>
      <c r="H81" s="19">
        <v>9.61</v>
      </c>
      <c r="I81" s="19">
        <v>73.010000000000005</v>
      </c>
      <c r="J81" s="19">
        <v>0</v>
      </c>
      <c r="K81" s="19">
        <v>0</v>
      </c>
      <c r="L81" s="1">
        <f t="shared" ref="L81:M81" si="31">$K81</f>
        <v>0</v>
      </c>
      <c r="M81" s="15">
        <f t="shared" si="31"/>
        <v>0</v>
      </c>
      <c r="O81" s="1" t="s">
        <v>88</v>
      </c>
    </row>
    <row r="82" spans="1:19" outlineLevel="1" x14ac:dyDescent="0.7">
      <c r="B82" s="1" t="s">
        <v>72</v>
      </c>
      <c r="G82" s="19">
        <v>85.99</v>
      </c>
      <c r="H82" s="19">
        <v>116.87</v>
      </c>
      <c r="I82" s="19">
        <v>158.25</v>
      </c>
      <c r="J82" s="19">
        <v>219.09</v>
      </c>
      <c r="K82" s="19">
        <v>375.83</v>
      </c>
      <c r="L82" s="1">
        <f>_xlfn.FORECAST.LINEAR(L$73,G$82:K$82,G$73:K$73)</f>
        <v>265.28649943800372</v>
      </c>
      <c r="M82" s="15">
        <f t="shared" ref="M82" si="32">_xlfn.FORECAST.LINEAR(M$73,H82:L82,H$73:L$73)</f>
        <v>324.15886711062859</v>
      </c>
      <c r="O82" s="1" t="s">
        <v>94</v>
      </c>
      <c r="S82" s="1" t="s">
        <v>93</v>
      </c>
    </row>
    <row r="83" spans="1:19" outlineLevel="1" x14ac:dyDescent="0.7">
      <c r="B83" s="1" t="s">
        <v>73</v>
      </c>
      <c r="G83" s="19">
        <v>0</v>
      </c>
      <c r="H83" s="19">
        <v>0</v>
      </c>
      <c r="I83" s="19">
        <v>2.31</v>
      </c>
      <c r="J83" s="19">
        <v>126.74</v>
      </c>
      <c r="K83" s="19">
        <v>247.84</v>
      </c>
      <c r="L83" s="1">
        <f t="shared" ref="L83:M84" si="33">$K83</f>
        <v>247.84</v>
      </c>
      <c r="M83" s="15">
        <f t="shared" si="33"/>
        <v>247.84</v>
      </c>
      <c r="O83" s="1" t="s">
        <v>88</v>
      </c>
    </row>
    <row r="84" spans="1:19" outlineLevel="1" x14ac:dyDescent="0.7">
      <c r="B84" s="1" t="s">
        <v>74</v>
      </c>
      <c r="G84" s="19">
        <v>338.13</v>
      </c>
      <c r="H84" s="19">
        <v>437.77</v>
      </c>
      <c r="I84" s="19">
        <v>410.83</v>
      </c>
      <c r="J84" s="19">
        <v>360.68</v>
      </c>
      <c r="K84" s="19">
        <v>449.13</v>
      </c>
      <c r="L84" s="1">
        <f t="shared" si="33"/>
        <v>449.13</v>
      </c>
      <c r="M84" s="15">
        <f t="shared" si="33"/>
        <v>449.13</v>
      </c>
      <c r="O84" s="1" t="s">
        <v>88</v>
      </c>
    </row>
    <row r="85" spans="1:19" outlineLevel="1" x14ac:dyDescent="0.7">
      <c r="B85" s="13" t="s">
        <v>64</v>
      </c>
      <c r="C85" s="3"/>
      <c r="D85" s="3"/>
      <c r="E85" s="3"/>
      <c r="F85" s="3"/>
      <c r="G85" s="3">
        <f t="shared" ref="G85:M85" si="34">SUM(G81:G84)</f>
        <v>538.07999999999993</v>
      </c>
      <c r="H85" s="3">
        <f t="shared" si="34"/>
        <v>564.25</v>
      </c>
      <c r="I85" s="3">
        <f t="shared" si="34"/>
        <v>644.4</v>
      </c>
      <c r="J85" s="3">
        <f t="shared" si="34"/>
        <v>706.51</v>
      </c>
      <c r="K85" s="3">
        <f t="shared" si="34"/>
        <v>1072.8</v>
      </c>
      <c r="L85" s="3">
        <f t="shared" si="34"/>
        <v>962.25649943800374</v>
      </c>
      <c r="M85" s="16">
        <f t="shared" si="34"/>
        <v>1021.1288671106286</v>
      </c>
    </row>
    <row r="86" spans="1:19" outlineLevel="1" x14ac:dyDescent="0.7">
      <c r="B86" s="12"/>
      <c r="M86" s="15"/>
    </row>
    <row r="87" spans="1:19" outlineLevel="1" x14ac:dyDescent="0.7">
      <c r="B87" s="13" t="s">
        <v>95</v>
      </c>
      <c r="C87" s="3"/>
      <c r="D87" s="3"/>
      <c r="E87" s="3"/>
      <c r="F87" s="3"/>
      <c r="G87" s="3">
        <f t="shared" ref="G87:K87" si="35">G53-G78</f>
        <v>10255.489999999991</v>
      </c>
      <c r="H87" s="3">
        <f t="shared" si="35"/>
        <v>14071.909999999989</v>
      </c>
      <c r="I87" s="3">
        <f t="shared" si="35"/>
        <v>18831.380000000019</v>
      </c>
      <c r="J87" s="3">
        <f t="shared" si="35"/>
        <v>25002.23000000001</v>
      </c>
      <c r="K87" s="3">
        <f t="shared" si="35"/>
        <v>50551.230000000025</v>
      </c>
      <c r="L87" s="3">
        <f>L53-L78</f>
        <v>61712.308931198917</v>
      </c>
      <c r="M87" s="16">
        <f>M53-M78</f>
        <v>73588.291719619519</v>
      </c>
    </row>
    <row r="88" spans="1:19" outlineLevel="1" x14ac:dyDescent="0.7">
      <c r="M88" s="15"/>
    </row>
    <row r="89" spans="1:19" outlineLevel="1" x14ac:dyDescent="0.7">
      <c r="B89" s="13" t="s">
        <v>65</v>
      </c>
      <c r="C89" s="3"/>
      <c r="D89" s="3"/>
      <c r="E89" s="3"/>
      <c r="F89" s="3"/>
      <c r="G89" s="3">
        <f>SUM(G78+G85)</f>
        <v>36801.430000000008</v>
      </c>
      <c r="H89" s="3">
        <f t="shared" ref="H89:M89" si="36">SUM(H78+H85)</f>
        <v>56321.5</v>
      </c>
      <c r="I89" s="3">
        <f>SUM(I78+I85)</f>
        <v>53079.509999999987</v>
      </c>
      <c r="J89" s="3">
        <f t="shared" si="36"/>
        <v>103210.66999999998</v>
      </c>
      <c r="K89" s="3">
        <f t="shared" si="36"/>
        <v>112251.4</v>
      </c>
      <c r="L89" s="3">
        <f t="shared" si="36"/>
        <v>105193.25335379603</v>
      </c>
      <c r="M89" s="16">
        <f t="shared" si="36"/>
        <v>116622.79287140429</v>
      </c>
    </row>
    <row r="90" spans="1:19" outlineLevel="1" x14ac:dyDescent="0.7">
      <c r="M90" s="15"/>
    </row>
    <row r="91" spans="1:19" outlineLevel="1" x14ac:dyDescent="0.7">
      <c r="B91" s="12" t="s">
        <v>66</v>
      </c>
      <c r="M91" s="15"/>
    </row>
    <row r="92" spans="1:19" outlineLevel="1" x14ac:dyDescent="0.7">
      <c r="B92" s="1" t="s">
        <v>67</v>
      </c>
      <c r="G92" s="19">
        <v>818.27</v>
      </c>
      <c r="H92" s="19">
        <v>828.59</v>
      </c>
      <c r="I92" s="19">
        <v>834.2</v>
      </c>
      <c r="J92" s="19">
        <v>840.08</v>
      </c>
      <c r="K92" s="19">
        <v>902.94</v>
      </c>
      <c r="L92" s="1">
        <f t="shared" ref="L92:M92" si="37">$K92</f>
        <v>902.94</v>
      </c>
      <c r="M92" s="15">
        <f t="shared" si="37"/>
        <v>902.94</v>
      </c>
      <c r="O92" s="1" t="s">
        <v>88</v>
      </c>
    </row>
    <row r="93" spans="1:19" outlineLevel="1" x14ac:dyDescent="0.7">
      <c r="B93" s="1" t="s">
        <v>68</v>
      </c>
      <c r="G93" s="19">
        <v>10202.5</v>
      </c>
      <c r="H93" s="19">
        <v>14627.07</v>
      </c>
      <c r="I93" s="19">
        <v>20311.72</v>
      </c>
      <c r="J93" s="19">
        <v>29155.42</v>
      </c>
      <c r="K93" s="19">
        <v>55075.74</v>
      </c>
      <c r="L93" s="1">
        <f t="shared" ref="L93" si="38">K93+L35</f>
        <v>65530.336862980956</v>
      </c>
      <c r="M93" s="15">
        <f>L93+M35</f>
        <v>78373.658336890425</v>
      </c>
      <c r="O93" s="1" t="s">
        <v>97</v>
      </c>
    </row>
    <row r="94" spans="1:19" outlineLevel="1" x14ac:dyDescent="0.7">
      <c r="B94" s="13" t="s">
        <v>69</v>
      </c>
      <c r="C94" s="3"/>
      <c r="D94" s="3"/>
      <c r="E94" s="3"/>
      <c r="F94" s="3"/>
      <c r="G94" s="3">
        <f>SUM(G92:G93)</f>
        <v>11020.77</v>
      </c>
      <c r="H94" s="3">
        <f t="shared" ref="H94:M94" si="39">SUM(H92:H93)</f>
        <v>15455.66</v>
      </c>
      <c r="I94" s="3">
        <f t="shared" si="39"/>
        <v>21145.920000000002</v>
      </c>
      <c r="J94" s="3">
        <f t="shared" si="39"/>
        <v>29995.5</v>
      </c>
      <c r="K94" s="3">
        <f t="shared" si="39"/>
        <v>55978.68</v>
      </c>
      <c r="L94" s="3">
        <f t="shared" si="39"/>
        <v>66433.276862980958</v>
      </c>
      <c r="M94" s="16">
        <f t="shared" si="39"/>
        <v>79276.598336890427</v>
      </c>
    </row>
    <row r="95" spans="1:19" outlineLevel="1" x14ac:dyDescent="0.7">
      <c r="M95" s="15"/>
    </row>
    <row r="96" spans="1:19" ht="17.350000000000001" outlineLevel="1" thickBot="1" x14ac:dyDescent="0.75">
      <c r="A96" s="1" t="s">
        <v>84</v>
      </c>
      <c r="B96" s="14" t="s">
        <v>70</v>
      </c>
      <c r="C96" s="4"/>
      <c r="D96" s="4"/>
      <c r="E96" s="4"/>
      <c r="F96" s="4"/>
      <c r="G96" s="4">
        <f>G89+G94</f>
        <v>47822.200000000012</v>
      </c>
      <c r="H96" s="4">
        <f t="shared" ref="H96:M96" si="40">H89+H94</f>
        <v>71777.16</v>
      </c>
      <c r="I96" s="4">
        <f>I89+I94</f>
        <v>74225.429999999993</v>
      </c>
      <c r="J96" s="4">
        <f t="shared" si="40"/>
        <v>133206.16999999998</v>
      </c>
      <c r="K96" s="4">
        <f t="shared" si="40"/>
        <v>168230.08</v>
      </c>
      <c r="L96" s="4">
        <f t="shared" si="40"/>
        <v>171626.530216777</v>
      </c>
      <c r="M96" s="17">
        <f t="shared" si="40"/>
        <v>195899.39120829472</v>
      </c>
    </row>
    <row r="97" spans="1:14" ht="17.350000000000001" outlineLevel="1" thickTop="1" x14ac:dyDescent="0.7"/>
    <row r="99" spans="1:14" ht="30.35" outlineLevel="1" x14ac:dyDescent="1.2">
      <c r="A99" s="1" t="s">
        <v>84</v>
      </c>
      <c r="B99" s="5" t="s">
        <v>98</v>
      </c>
      <c r="C99" s="6"/>
      <c r="D99" s="6"/>
      <c r="E99" s="6"/>
      <c r="F99" s="6"/>
      <c r="G99" s="7"/>
      <c r="H99" s="7"/>
      <c r="I99" s="7"/>
      <c r="J99" s="7"/>
      <c r="K99" s="7"/>
      <c r="L99" s="8"/>
      <c r="M99" s="6"/>
      <c r="N99" s="6"/>
    </row>
    <row r="100" spans="1:14" outlineLevel="1" x14ac:dyDescent="0.7"/>
    <row r="101" spans="1:14" ht="34" outlineLevel="1" x14ac:dyDescent="0.7">
      <c r="B101" s="9" t="s">
        <v>38</v>
      </c>
    </row>
    <row r="102" spans="1:14" outlineLevel="1" x14ac:dyDescent="0.7"/>
    <row r="103" spans="1:14" outlineLevel="1" x14ac:dyDescent="0.7"/>
    <row r="104" spans="1:14" ht="17.350000000000001" outlineLevel="1" thickBot="1" x14ac:dyDescent="0.75">
      <c r="B104" s="11" t="s">
        <v>41</v>
      </c>
      <c r="C104" s="10"/>
      <c r="D104" s="10"/>
      <c r="E104" s="10"/>
      <c r="F104" s="10"/>
      <c r="G104" s="33" t="s">
        <v>12</v>
      </c>
      <c r="H104" s="33" t="s">
        <v>13</v>
      </c>
      <c r="I104" s="34" t="s">
        <v>14</v>
      </c>
    </row>
    <row r="105" spans="1:14" outlineLevel="1" x14ac:dyDescent="0.7">
      <c r="B105" s="1" t="s">
        <v>99</v>
      </c>
      <c r="G105" s="1">
        <f t="shared" ref="G105:I105" si="41">L35</f>
        <v>10454.596862980954</v>
      </c>
      <c r="H105" s="1">
        <f t="shared" si="41"/>
        <v>12843.321473909476</v>
      </c>
      <c r="I105" s="2">
        <f t="shared" si="41"/>
        <v>15922.792033046226</v>
      </c>
    </row>
    <row r="106" spans="1:14" outlineLevel="1" x14ac:dyDescent="0.7">
      <c r="I106" s="2"/>
    </row>
    <row r="107" spans="1:14" outlineLevel="1" x14ac:dyDescent="0.7">
      <c r="B107" s="1" t="s">
        <v>100</v>
      </c>
      <c r="G107" s="1">
        <f t="shared" ref="G107:I107" si="42">-L25</f>
        <v>660.09025871002927</v>
      </c>
      <c r="H107" s="1">
        <f t="shared" si="42"/>
        <v>876.39044674107674</v>
      </c>
      <c r="I107" s="2">
        <f t="shared" si="42"/>
        <v>876.39044674107674</v>
      </c>
    </row>
    <row r="108" spans="1:14" outlineLevel="1" x14ac:dyDescent="0.7">
      <c r="I108" s="2"/>
    </row>
    <row r="109" spans="1:14" outlineLevel="1" x14ac:dyDescent="0.7">
      <c r="B109" s="1" t="s">
        <v>101</v>
      </c>
      <c r="G109" s="1">
        <f t="shared" ref="G109:I109" si="43">-L29*(1-0.25)</f>
        <v>2187.3825000000002</v>
      </c>
      <c r="H109" s="1">
        <f t="shared" si="43"/>
        <v>2187.3825000000002</v>
      </c>
      <c r="I109" s="2">
        <f t="shared" si="43"/>
        <v>2187.3825000000002</v>
      </c>
    </row>
    <row r="110" spans="1:14" outlineLevel="1" x14ac:dyDescent="0.7">
      <c r="I110" s="2"/>
    </row>
    <row r="111" spans="1:14" outlineLevel="1" x14ac:dyDescent="0.7">
      <c r="B111" s="1" t="s">
        <v>102</v>
      </c>
      <c r="G111" s="1">
        <f>K87-L87</f>
        <v>-11161.078931198892</v>
      </c>
      <c r="H111" s="1">
        <f>L87-M87</f>
        <v>-11875.982788420602</v>
      </c>
      <c r="I111" s="2">
        <f>H111</f>
        <v>-11875.982788420602</v>
      </c>
      <c r="K111" s="1" t="s">
        <v>105</v>
      </c>
      <c r="M111" s="1" t="s">
        <v>106</v>
      </c>
    </row>
    <row r="112" spans="1:14" outlineLevel="1" x14ac:dyDescent="0.7">
      <c r="I112" s="2"/>
    </row>
    <row r="113" spans="1:17" outlineLevel="1" x14ac:dyDescent="0.7">
      <c r="B113" s="1" t="s">
        <v>103</v>
      </c>
      <c r="G113" s="1">
        <f t="shared" ref="G113" si="44">(K59+K62+K63)-(L59+L62+L63)</f>
        <v>817.02556877993857</v>
      </c>
      <c r="H113" s="1">
        <f>(L59+L62+L63)-(M59+M62+M63)</f>
        <v>-1026.2110531614976</v>
      </c>
      <c r="I113" s="2">
        <f>H113</f>
        <v>-1026.2110531614976</v>
      </c>
      <c r="K113" s="1" t="s">
        <v>107</v>
      </c>
      <c r="M113" s="1" t="s">
        <v>106</v>
      </c>
    </row>
    <row r="114" spans="1:17" outlineLevel="1" x14ac:dyDescent="0.7">
      <c r="I114" s="2"/>
    </row>
    <row r="115" spans="1:17" ht="17.350000000000001" outlineLevel="1" thickBot="1" x14ac:dyDescent="0.75">
      <c r="A115" s="1" t="s">
        <v>84</v>
      </c>
      <c r="B115" s="4" t="s">
        <v>104</v>
      </c>
      <c r="C115" s="4"/>
      <c r="D115" s="4"/>
      <c r="E115" s="4"/>
      <c r="F115" s="4"/>
      <c r="G115" s="4">
        <f>SUM(G105:G114)</f>
        <v>2958.0162592720303</v>
      </c>
      <c r="H115" s="4">
        <f>SUM(H105:H114)</f>
        <v>3004.9005790684537</v>
      </c>
      <c r="I115" s="36">
        <f>SUM(I105:I114)</f>
        <v>6084.3711382052006</v>
      </c>
    </row>
    <row r="116" spans="1:17" ht="17.350000000000001" outlineLevel="1" thickTop="1" x14ac:dyDescent="0.7"/>
    <row r="118" spans="1:17" ht="30.35" x14ac:dyDescent="1.2">
      <c r="A118" s="1" t="s">
        <v>84</v>
      </c>
      <c r="B118" s="5" t="s">
        <v>177</v>
      </c>
      <c r="C118" s="6"/>
      <c r="D118" s="6"/>
      <c r="E118" s="6"/>
      <c r="F118" s="6"/>
      <c r="G118" s="7"/>
      <c r="H118" s="7"/>
      <c r="I118" s="7"/>
      <c r="J118" s="7"/>
      <c r="K118" s="7"/>
      <c r="L118" s="8"/>
      <c r="M118" s="6"/>
      <c r="N118" s="6"/>
    </row>
    <row r="120" spans="1:17" ht="34" x14ac:dyDescent="0.7">
      <c r="B120" s="9" t="s">
        <v>38</v>
      </c>
      <c r="E120" s="1" t="s">
        <v>237</v>
      </c>
      <c r="G120" s="158"/>
      <c r="I120" s="48" t="s">
        <v>111</v>
      </c>
      <c r="J120" s="49" t="s">
        <v>113</v>
      </c>
      <c r="K120" s="50"/>
      <c r="L120" s="51" t="s">
        <v>14</v>
      </c>
    </row>
    <row r="121" spans="1:17" x14ac:dyDescent="0.7">
      <c r="I121" s="52" t="s">
        <v>112</v>
      </c>
      <c r="J121" s="46" t="s">
        <v>112</v>
      </c>
      <c r="K121" s="47" t="s">
        <v>112</v>
      </c>
      <c r="L121" s="47" t="s">
        <v>112</v>
      </c>
      <c r="N121" s="1" t="s">
        <v>175</v>
      </c>
      <c r="Q121" s="1" t="s">
        <v>176</v>
      </c>
    </row>
    <row r="122" spans="1:17" x14ac:dyDescent="0.7">
      <c r="B122" s="38" t="s">
        <v>175</v>
      </c>
      <c r="C122" s="84">
        <f>Output!L9</f>
        <v>8</v>
      </c>
      <c r="G122" s="12" t="s">
        <v>109</v>
      </c>
      <c r="I122" s="53">
        <v>45747</v>
      </c>
      <c r="J122" s="42">
        <v>46112</v>
      </c>
      <c r="K122" s="43">
        <v>46477</v>
      </c>
      <c r="L122" s="43">
        <v>46843</v>
      </c>
    </row>
    <row r="123" spans="1:17" ht="17.350000000000001" thickBot="1" x14ac:dyDescent="0.75">
      <c r="B123" s="39" t="s">
        <v>108</v>
      </c>
      <c r="C123" s="80">
        <f>Output!L10</f>
        <v>0.12499018919396405</v>
      </c>
      <c r="G123" s="12" t="s">
        <v>110</v>
      </c>
      <c r="I123" s="54">
        <v>45747</v>
      </c>
      <c r="J123" s="44">
        <v>46112</v>
      </c>
      <c r="K123" s="45">
        <v>46477</v>
      </c>
      <c r="L123" s="45">
        <v>46843</v>
      </c>
    </row>
    <row r="126" spans="1:17" x14ac:dyDescent="0.7">
      <c r="B126" s="57" t="s">
        <v>163</v>
      </c>
      <c r="C126" s="58"/>
      <c r="D126" s="58"/>
      <c r="E126" s="58"/>
      <c r="F126" s="58"/>
      <c r="G126" s="58"/>
      <c r="H126" s="58"/>
      <c r="I126" s="81" t="s">
        <v>11</v>
      </c>
      <c r="J126" s="82" t="s">
        <v>12</v>
      </c>
      <c r="K126" s="82" t="s">
        <v>13</v>
      </c>
      <c r="L126" s="85" t="s">
        <v>14</v>
      </c>
      <c r="M126" s="86" t="s">
        <v>0</v>
      </c>
    </row>
    <row r="127" spans="1:17" x14ac:dyDescent="0.7">
      <c r="B127" s="1" t="s">
        <v>113</v>
      </c>
      <c r="I127" s="1">
        <v>0</v>
      </c>
      <c r="J127" s="1">
        <f>G115</f>
        <v>2958.0162592720303</v>
      </c>
      <c r="K127" s="1">
        <f>H115</f>
        <v>3004.9005790684537</v>
      </c>
      <c r="L127" s="2">
        <f>I115</f>
        <v>6084.3711382052006</v>
      </c>
      <c r="M127" s="83">
        <f>N21</f>
        <v>46003.039802895568</v>
      </c>
    </row>
    <row r="128" spans="1:17" x14ac:dyDescent="0.7">
      <c r="L128" s="2"/>
    </row>
    <row r="129" spans="2:12" x14ac:dyDescent="0.7">
      <c r="B129" s="1" t="s">
        <v>164</v>
      </c>
      <c r="I129" s="1">
        <v>0</v>
      </c>
      <c r="J129" s="1">
        <v>0</v>
      </c>
      <c r="K129" s="1">
        <v>0</v>
      </c>
      <c r="L129" s="2">
        <f>M127*C122</f>
        <v>368024.31842316454</v>
      </c>
    </row>
    <row r="130" spans="2:12" x14ac:dyDescent="0.7">
      <c r="L130" s="2"/>
    </row>
    <row r="131" spans="2:12" ht="17.350000000000001" thickBot="1" x14ac:dyDescent="0.75">
      <c r="B131" s="14" t="s">
        <v>165</v>
      </c>
      <c r="C131" s="4"/>
      <c r="D131" s="4"/>
      <c r="E131" s="4"/>
      <c r="F131" s="4"/>
      <c r="G131" s="4"/>
      <c r="H131" s="4"/>
      <c r="I131" s="4">
        <f>SUM(I127:I130)</f>
        <v>0</v>
      </c>
      <c r="J131" s="4">
        <f>SUM(J127:J130)</f>
        <v>2958.0162592720303</v>
      </c>
      <c r="K131" s="4">
        <f t="shared" ref="K131" si="45">SUM(K127:K130)</f>
        <v>3004.9005790684537</v>
      </c>
      <c r="L131" s="36">
        <f>SUM(L127:L130)</f>
        <v>374108.68956136977</v>
      </c>
    </row>
    <row r="132" spans="2:12" ht="17.350000000000001" thickTop="1" x14ac:dyDescent="0.7"/>
    <row r="133" spans="2:12" ht="17.350000000000001" thickBot="1" x14ac:dyDescent="0.75">
      <c r="B133" s="14" t="s">
        <v>166</v>
      </c>
      <c r="C133" s="4"/>
      <c r="D133" s="14">
        <f>XNPV(C123,I131:L131,I123:L123)</f>
        <v>267674.24910562998</v>
      </c>
    </row>
    <row r="134" spans="2:12" ht="17.350000000000001" thickTop="1" x14ac:dyDescent="0.7"/>
    <row r="135" spans="2:12" x14ac:dyDescent="0.7">
      <c r="B135" s="57" t="s">
        <v>167</v>
      </c>
      <c r="C135" s="58"/>
      <c r="D135" s="58"/>
    </row>
    <row r="136" spans="2:12" x14ac:dyDescent="0.7">
      <c r="B136" s="12" t="s">
        <v>168</v>
      </c>
      <c r="D136" s="12">
        <f>D133</f>
        <v>267674.24910562998</v>
      </c>
    </row>
    <row r="138" spans="2:12" x14ac:dyDescent="0.7">
      <c r="B138" s="1" t="s">
        <v>174</v>
      </c>
      <c r="D138" s="1">
        <f>K47</f>
        <v>5900.28</v>
      </c>
    </row>
    <row r="140" spans="2:12" x14ac:dyDescent="0.7">
      <c r="B140" s="1" t="s">
        <v>173</v>
      </c>
      <c r="D140" s="1">
        <f>-SUM(K74:K76)</f>
        <v>-34087.380000000005</v>
      </c>
    </row>
    <row r="142" spans="2:12" ht="17.350000000000001" thickBot="1" x14ac:dyDescent="0.75">
      <c r="B142" s="14" t="s">
        <v>169</v>
      </c>
      <c r="C142" s="4"/>
      <c r="D142" s="14">
        <f>SUM(D136:D141)</f>
        <v>239487.14910563</v>
      </c>
    </row>
    <row r="143" spans="2:12" ht="17.350000000000001" thickTop="1" x14ac:dyDescent="0.7"/>
    <row r="144" spans="2:12" x14ac:dyDescent="0.7">
      <c r="B144" s="57" t="s">
        <v>170</v>
      </c>
      <c r="C144" s="58"/>
      <c r="D144" s="58"/>
    </row>
    <row r="145" spans="2:4" x14ac:dyDescent="0.7">
      <c r="B145" s="1" t="s">
        <v>169</v>
      </c>
      <c r="D145" s="1">
        <f>D142</f>
        <v>239487.14910563</v>
      </c>
    </row>
    <row r="147" spans="2:4" x14ac:dyDescent="0.7">
      <c r="B147" s="1" t="s">
        <v>171</v>
      </c>
      <c r="D147" s="19">
        <v>90.29</v>
      </c>
    </row>
    <row r="149" spans="2:4" ht="17.350000000000001" thickBot="1" x14ac:dyDescent="0.75">
      <c r="B149" s="14" t="s">
        <v>172</v>
      </c>
      <c r="C149" s="4"/>
      <c r="D149" s="14">
        <f>D145/D147</f>
        <v>2652.4216314722557</v>
      </c>
    </row>
    <row r="150" spans="2:4" ht="17.350000000000001" thickTop="1" x14ac:dyDescent="0.7"/>
    <row r="151" spans="2:4" x14ac:dyDescent="0.7">
      <c r="B151" s="12" t="s">
        <v>178</v>
      </c>
      <c r="D151" s="88">
        <v>231.79499999999999</v>
      </c>
    </row>
    <row r="152" spans="2:4" x14ac:dyDescent="0.7">
      <c r="B152" s="87" t="s">
        <v>179</v>
      </c>
    </row>
    <row r="154" spans="2:4" x14ac:dyDescent="0.7">
      <c r="B154" s="13" t="s">
        <v>180</v>
      </c>
      <c r="C154" s="3"/>
      <c r="D154" s="13">
        <f>D149-D151</f>
        <v>2420.6266314722557</v>
      </c>
    </row>
    <row r="156" spans="2:4" x14ac:dyDescent="0.7">
      <c r="B156" s="13" t="s">
        <v>181</v>
      </c>
      <c r="C156" s="3"/>
      <c r="D156" s="89">
        <f>D149/D151-1</f>
        <v>10.442963098739213</v>
      </c>
    </row>
    <row r="158" spans="2:4" x14ac:dyDescent="0.7">
      <c r="B158" s="13" t="s">
        <v>180</v>
      </c>
      <c r="C158" s="3"/>
      <c r="D158" s="90">
        <f>D149/D151</f>
        <v>11.442963098739213</v>
      </c>
    </row>
    <row r="160" spans="2:4" ht="17.350000000000001" thickBot="1" x14ac:dyDescent="0.75">
      <c r="B160" s="14" t="s">
        <v>182</v>
      </c>
      <c r="C160" s="14"/>
      <c r="D160" s="91" t="s">
        <v>183</v>
      </c>
    </row>
    <row r="161" ht="17.350000000000001" thickTop="1" x14ac:dyDescent="0.7"/>
  </sheetData>
  <pageMargins left="0.7" right="0.7" top="0.75" bottom="0.75" header="0.3" footer="0.3"/>
  <pageSetup orientation="landscape" horizontalDpi="1200" verticalDpi="1200" r:id="rId1"/>
  <headerFooter>
    <oddHeader xml:space="preserve">&amp;C
</oddHeader>
  </headerFooter>
  <ignoredErrors>
    <ignoredError sqref="L82:M82 M59" formula="1"/>
    <ignoredError sqref="I131:K131" emptyCellReference="1"/>
  </ignoredErrors>
  <drawing r:id="rId2"/>
  <legacyDrawing r:id="rId3"/>
  <mc:AlternateContent xmlns:mc="http://schemas.openxmlformats.org/markup-compatibility/2006">
    <mc:Choice Requires="x14">
      <controls>
        <mc:AlternateContent xmlns:mc="http://schemas.openxmlformats.org/markup-compatibility/2006">
          <mc:Choice Requires="x14">
            <control shapeId="4098" r:id="rId4" name="Drop Down 2">
              <controlPr defaultSize="0" autoLine="0" autoPict="0">
                <anchor moveWithCells="1">
                  <from>
                    <xdr:col>6</xdr:col>
                    <xdr:colOff>105833</xdr:colOff>
                    <xdr:row>119</xdr:row>
                    <xdr:rowOff>211667</xdr:rowOff>
                  </from>
                  <to>
                    <xdr:col>6</xdr:col>
                    <xdr:colOff>901700</xdr:colOff>
                    <xdr:row>119</xdr:row>
                    <xdr:rowOff>423333</xdr:rowOff>
                  </to>
                </anchor>
              </controlPr>
            </control>
          </mc:Choice>
        </mc:AlternateContent>
        <mc:AlternateContent xmlns:mc="http://schemas.openxmlformats.org/markup-compatibility/2006">
          <mc:Choice Requires="x14">
            <control shapeId="4099" r:id="rId5" name="Drop Down 3">
              <controlPr defaultSize="0" autoLine="0" autoPict="0">
                <anchor moveWithCells="1">
                  <from>
                    <xdr:col>5</xdr:col>
                    <xdr:colOff>842433</xdr:colOff>
                    <xdr:row>3</xdr:row>
                    <xdr:rowOff>427567</xdr:rowOff>
                  </from>
                  <to>
                    <xdr:col>6</xdr:col>
                    <xdr:colOff>935567</xdr:colOff>
                    <xdr:row>5</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44D6-140B-4F22-9E73-00E19B1D41B7}">
  <sheetPr>
    <pageSetUpPr fitToPage="1"/>
  </sheetPr>
  <dimension ref="A1:AF51"/>
  <sheetViews>
    <sheetView showGridLines="0" zoomScale="52" workbookViewId="0">
      <pane ySplit="1" topLeftCell="A2" activePane="bottomLeft" state="frozen"/>
      <selection activeCell="J21" sqref="J21"/>
      <selection pane="bottomLeft" activeCell="E16" sqref="E16"/>
    </sheetView>
  </sheetViews>
  <sheetFormatPr defaultRowHeight="17" outlineLevelRow="1" x14ac:dyDescent="0.7"/>
  <cols>
    <col min="1" max="1" width="8.9375" style="1"/>
    <col min="2" max="2" width="12.29296875" style="1" customWidth="1"/>
    <col min="3" max="3" width="18.3515625" style="1" bestFit="1" customWidth="1"/>
    <col min="4" max="4" width="12.9375" style="1" bestFit="1" customWidth="1"/>
    <col min="5" max="5" width="14.1171875" style="1" bestFit="1" customWidth="1"/>
    <col min="6" max="6" width="11.8203125" style="1" bestFit="1" customWidth="1"/>
    <col min="7" max="7" width="13" style="1" bestFit="1" customWidth="1"/>
    <col min="8" max="9" width="13.05859375" style="1" bestFit="1" customWidth="1"/>
    <col min="10" max="10" width="14.05859375" style="1" bestFit="1" customWidth="1"/>
    <col min="11" max="11" width="14" style="1" bestFit="1" customWidth="1"/>
    <col min="12" max="12" width="13" style="1" bestFit="1" customWidth="1"/>
    <col min="13" max="13" width="11.8203125" style="1" bestFit="1" customWidth="1"/>
    <col min="14" max="14" width="9.41015625" style="1" bestFit="1" customWidth="1"/>
    <col min="15" max="15" width="10.17578125" style="1" bestFit="1" customWidth="1"/>
    <col min="16" max="16" width="10.234375" style="1" bestFit="1" customWidth="1"/>
    <col min="17" max="17" width="10" style="1" bestFit="1" customWidth="1"/>
    <col min="18" max="18" width="9.29296875" style="1" bestFit="1" customWidth="1"/>
    <col min="19" max="19" width="10.17578125" style="1" bestFit="1" customWidth="1"/>
    <col min="20" max="20" width="10.234375" style="1" bestFit="1" customWidth="1"/>
    <col min="21" max="21" width="8.9375" style="1"/>
    <col min="22" max="27" width="9" style="1" bestFit="1" customWidth="1"/>
    <col min="28" max="16384" width="8.9375" style="1"/>
  </cols>
  <sheetData>
    <row r="1" spans="1:30" ht="111" customHeight="1" x14ac:dyDescent="0.7">
      <c r="B1" s="216"/>
      <c r="C1" s="216"/>
      <c r="D1" s="216"/>
      <c r="E1" s="216"/>
      <c r="F1" s="216"/>
      <c r="G1" s="216"/>
      <c r="H1" s="216"/>
      <c r="I1" s="217" t="s">
        <v>279</v>
      </c>
      <c r="J1" s="216"/>
      <c r="K1" s="216"/>
      <c r="L1" s="216"/>
      <c r="M1" s="216"/>
      <c r="N1" s="216"/>
      <c r="O1" s="216"/>
      <c r="P1" s="216"/>
      <c r="Q1" s="218"/>
      <c r="R1" s="218"/>
      <c r="S1" s="218"/>
      <c r="T1" s="218"/>
      <c r="U1" s="218"/>
      <c r="V1" s="218"/>
      <c r="W1" s="218"/>
      <c r="X1" s="218"/>
      <c r="Y1" s="218"/>
      <c r="Z1" s="218"/>
      <c r="AA1" s="218"/>
    </row>
    <row r="4" spans="1:30" outlineLevel="1" x14ac:dyDescent="0.7">
      <c r="A4" s="1" t="s">
        <v>84</v>
      </c>
      <c r="B4" s="102"/>
      <c r="C4" s="102"/>
      <c r="D4" s="102"/>
      <c r="E4" s="102"/>
      <c r="F4" s="102"/>
      <c r="G4" s="102"/>
      <c r="H4" s="102"/>
      <c r="I4" s="102"/>
      <c r="J4" s="102"/>
      <c r="K4" s="102"/>
      <c r="L4" s="102"/>
      <c r="M4" s="102"/>
      <c r="N4" s="102"/>
      <c r="O4" s="127" t="s">
        <v>0</v>
      </c>
      <c r="P4" s="128"/>
      <c r="Q4" s="127"/>
      <c r="R4" s="108" t="s">
        <v>17</v>
      </c>
      <c r="S4" s="108"/>
      <c r="T4" s="108"/>
      <c r="U4" s="102"/>
      <c r="V4" s="129"/>
      <c r="W4" s="102"/>
      <c r="X4" s="120"/>
      <c r="Y4" s="129"/>
      <c r="Z4" s="102"/>
      <c r="AA4" s="120"/>
    </row>
    <row r="5" spans="1:30" ht="51" outlineLevel="1" x14ac:dyDescent="0.7">
      <c r="H5" s="92" t="s">
        <v>191</v>
      </c>
      <c r="I5" s="92" t="s">
        <v>192</v>
      </c>
      <c r="J5" s="92" t="s">
        <v>193</v>
      </c>
      <c r="K5" s="92"/>
      <c r="L5" s="92" t="s">
        <v>195</v>
      </c>
      <c r="M5" s="92" t="s">
        <v>196</v>
      </c>
      <c r="N5" s="92"/>
      <c r="O5" s="98" t="s">
        <v>199</v>
      </c>
      <c r="P5" s="97"/>
      <c r="Q5" s="101"/>
      <c r="R5" s="98" t="s">
        <v>199</v>
      </c>
      <c r="S5" s="101"/>
      <c r="T5" s="101"/>
      <c r="U5" s="93"/>
      <c r="V5" s="130" t="s">
        <v>197</v>
      </c>
      <c r="W5" s="94"/>
      <c r="X5" s="111"/>
      <c r="Y5" s="94" t="s">
        <v>198</v>
      </c>
      <c r="Z5" s="94"/>
      <c r="AA5" s="111"/>
    </row>
    <row r="6" spans="1:30" outlineLevel="1" x14ac:dyDescent="0.7">
      <c r="A6" s="1" t="s">
        <v>84</v>
      </c>
      <c r="B6" s="57" t="s">
        <v>115</v>
      </c>
      <c r="C6" s="58"/>
      <c r="D6" s="58"/>
      <c r="E6" s="58"/>
      <c r="F6" s="58"/>
      <c r="G6" s="58"/>
      <c r="H6" s="96" t="s">
        <v>201</v>
      </c>
      <c r="I6" s="96" t="s">
        <v>200</v>
      </c>
      <c r="J6" s="96" t="s">
        <v>199</v>
      </c>
      <c r="K6" s="58"/>
      <c r="L6" s="96" t="s">
        <v>199</v>
      </c>
      <c r="M6" s="96" t="s">
        <v>199</v>
      </c>
      <c r="N6" s="58"/>
      <c r="O6" s="95" t="s">
        <v>11</v>
      </c>
      <c r="P6" s="58" t="s">
        <v>12</v>
      </c>
      <c r="Q6" s="58" t="s">
        <v>13</v>
      </c>
      <c r="R6" s="95" t="s">
        <v>11</v>
      </c>
      <c r="S6" s="58" t="s">
        <v>12</v>
      </c>
      <c r="T6" s="58" t="s">
        <v>13</v>
      </c>
      <c r="U6" s="58"/>
      <c r="V6" s="131" t="s">
        <v>11</v>
      </c>
      <c r="W6" s="110" t="s">
        <v>12</v>
      </c>
      <c r="X6" s="112" t="s">
        <v>13</v>
      </c>
      <c r="Y6" s="109" t="s">
        <v>11</v>
      </c>
      <c r="Z6" s="110" t="s">
        <v>12</v>
      </c>
      <c r="AA6" s="112" t="s">
        <v>13</v>
      </c>
    </row>
    <row r="7" spans="1:30" outlineLevel="1" x14ac:dyDescent="0.7">
      <c r="A7" s="1" t="s">
        <v>84</v>
      </c>
      <c r="B7" s="1" t="s">
        <v>116</v>
      </c>
      <c r="H7" s="19">
        <v>602.35</v>
      </c>
      <c r="I7" s="19">
        <v>598.64</v>
      </c>
      <c r="J7" s="1">
        <f t="shared" ref="J7:J25" si="0">H7*I7</f>
        <v>360590.804</v>
      </c>
      <c r="L7" s="19">
        <v>1026.8999999999869</v>
      </c>
      <c r="M7" s="1">
        <f t="shared" ref="M7:M25" si="1">J7+L7</f>
        <v>361617.70399999997</v>
      </c>
      <c r="O7" s="19">
        <v>26270</v>
      </c>
      <c r="P7" s="1">
        <v>30785</v>
      </c>
      <c r="Q7" s="1">
        <v>35763</v>
      </c>
      <c r="R7" s="19">
        <v>13910</v>
      </c>
      <c r="S7" s="1">
        <v>26439</v>
      </c>
      <c r="T7" s="1">
        <v>30342</v>
      </c>
      <c r="V7" s="132">
        <f>$M7/O7</f>
        <v>13.765424590787969</v>
      </c>
      <c r="W7" s="114">
        <f>$M7/P7</f>
        <v>11.746555270423906</v>
      </c>
      <c r="X7" s="115">
        <f>$M7/Q7</f>
        <v>10.111503621060873</v>
      </c>
      <c r="Y7" s="114">
        <f t="shared" ref="Y7:Y25" si="2">$J7/R7</f>
        <v>25.923134723220706</v>
      </c>
      <c r="Z7" s="114">
        <f t="shared" ref="Z7:Z25" si="3">$J7/S7</f>
        <v>13.638594651840085</v>
      </c>
      <c r="AA7" s="115">
        <f t="shared" ref="AA7:AA25" si="4">$J7/T7</f>
        <v>11.884213433524488</v>
      </c>
      <c r="AD7" s="1" t="s">
        <v>215</v>
      </c>
    </row>
    <row r="8" spans="1:30" outlineLevel="1" x14ac:dyDescent="0.7">
      <c r="H8" s="19"/>
      <c r="I8" s="19"/>
      <c r="L8" s="19"/>
      <c r="O8" s="19"/>
      <c r="R8" s="19"/>
      <c r="V8" s="132"/>
      <c r="W8" s="114"/>
      <c r="X8" s="115"/>
      <c r="Y8" s="114"/>
      <c r="Z8" s="114"/>
      <c r="AA8" s="115"/>
    </row>
    <row r="9" spans="1:30" outlineLevel="1" x14ac:dyDescent="0.7">
      <c r="B9" s="1" t="s">
        <v>119</v>
      </c>
      <c r="H9" s="19">
        <v>215.87</v>
      </c>
      <c r="I9" s="19">
        <v>309.98</v>
      </c>
      <c r="J9" s="1">
        <f t="shared" si="0"/>
        <v>66915.382600000012</v>
      </c>
      <c r="L9" s="19">
        <v>-30982.9</v>
      </c>
      <c r="M9" s="1">
        <f t="shared" si="1"/>
        <v>35932.48260000001</v>
      </c>
      <c r="O9" s="19">
        <v>10050</v>
      </c>
      <c r="P9" s="1">
        <v>13333.334999999999</v>
      </c>
      <c r="Q9" s="1">
        <v>17689.335544499998</v>
      </c>
      <c r="R9" s="19">
        <v>6030</v>
      </c>
      <c r="S9" s="1">
        <v>7772.3</v>
      </c>
      <c r="T9" s="1">
        <v>8559.5</v>
      </c>
      <c r="V9" s="132">
        <f>$M9/O9</f>
        <v>3.5753714029850756</v>
      </c>
      <c r="W9" s="114">
        <f>$M9/P9</f>
        <v>2.6949358581330185</v>
      </c>
      <c r="X9" s="115">
        <f>$M9/Q9</f>
        <v>2.0313076491543067</v>
      </c>
      <c r="Y9" s="114">
        <f t="shared" si="2"/>
        <v>11.097078374792705</v>
      </c>
      <c r="Z9" s="114">
        <f t="shared" si="3"/>
        <v>8.6094698609163327</v>
      </c>
      <c r="AA9" s="115">
        <f t="shared" si="4"/>
        <v>7.817674233308022</v>
      </c>
    </row>
    <row r="10" spans="1:30" outlineLevel="1" x14ac:dyDescent="0.7">
      <c r="H10" s="19"/>
      <c r="I10" s="19"/>
      <c r="L10" s="19"/>
      <c r="O10" s="19"/>
      <c r="R10" s="19"/>
      <c r="V10" s="132"/>
      <c r="W10" s="114"/>
      <c r="X10" s="115"/>
      <c r="Y10" s="114"/>
      <c r="Z10" s="114"/>
      <c r="AA10" s="115"/>
    </row>
    <row r="11" spans="1:30" outlineLevel="1" x14ac:dyDescent="0.7">
      <c r="B11" s="1" t="s">
        <v>118</v>
      </c>
      <c r="H11" s="19">
        <v>5922.35</v>
      </c>
      <c r="I11" s="19">
        <v>36.01</v>
      </c>
      <c r="J11" s="1">
        <f t="shared" si="0"/>
        <v>213263.8235</v>
      </c>
      <c r="L11" s="19">
        <v>1068.8999999999999</v>
      </c>
      <c r="M11" s="1">
        <f t="shared" si="1"/>
        <v>214332.72349999999</v>
      </c>
      <c r="O11" s="19">
        <v>7850</v>
      </c>
      <c r="P11" s="1">
        <v>14805</v>
      </c>
      <c r="Q11" s="1">
        <v>16696</v>
      </c>
      <c r="R11" s="19">
        <v>5980</v>
      </c>
      <c r="S11" s="1">
        <v>10833</v>
      </c>
      <c r="T11" s="1">
        <v>12529</v>
      </c>
      <c r="V11" s="132">
        <f>$M11/O11</f>
        <v>27.303531656050954</v>
      </c>
      <c r="W11" s="114">
        <f>$M11/P11</f>
        <v>14.47704988179669</v>
      </c>
      <c r="X11" s="115">
        <f>$M11/Q11</f>
        <v>12.837369639434595</v>
      </c>
      <c r="Y11" s="114">
        <f t="shared" si="2"/>
        <v>35.662846739130437</v>
      </c>
      <c r="Z11" s="114">
        <f t="shared" si="3"/>
        <v>19.68649713837349</v>
      </c>
      <c r="AA11" s="115">
        <f t="shared" si="4"/>
        <v>17.021615731502912</v>
      </c>
      <c r="AD11" s="1" t="s">
        <v>215</v>
      </c>
    </row>
    <row r="12" spans="1:30" outlineLevel="1" x14ac:dyDescent="0.7">
      <c r="H12" s="19"/>
      <c r="I12" s="19"/>
      <c r="L12" s="19"/>
      <c r="O12" s="19"/>
      <c r="R12" s="19"/>
      <c r="V12" s="132"/>
      <c r="W12" s="114"/>
      <c r="X12" s="115"/>
      <c r="Y12" s="114"/>
      <c r="Z12" s="114"/>
      <c r="AA12" s="115"/>
    </row>
    <row r="13" spans="1:30" outlineLevel="1" x14ac:dyDescent="0.7">
      <c r="B13" s="1" t="s">
        <v>184</v>
      </c>
      <c r="H13" s="19">
        <v>888.15</v>
      </c>
      <c r="I13" s="19">
        <v>404.58</v>
      </c>
      <c r="J13" s="1">
        <f t="shared" si="0"/>
        <v>359327.72699999996</v>
      </c>
      <c r="L13" s="19">
        <v>10836.900000000001</v>
      </c>
      <c r="M13" s="1">
        <f t="shared" si="1"/>
        <v>370164.62699999998</v>
      </c>
      <c r="O13" s="19">
        <v>5020</v>
      </c>
      <c r="P13" s="1">
        <v>6626.4000000000005</v>
      </c>
      <c r="Q13" s="1">
        <v>8746.848</v>
      </c>
      <c r="R13" s="19">
        <v>3350</v>
      </c>
      <c r="S13" s="1">
        <v>4686.6499999999996</v>
      </c>
      <c r="T13" s="1">
        <v>6556.6233499999998</v>
      </c>
      <c r="V13" s="132">
        <f>$M13/O13</f>
        <v>73.737973505976086</v>
      </c>
      <c r="W13" s="114">
        <f>$M13/P13</f>
        <v>55.862101140890971</v>
      </c>
      <c r="X13" s="115">
        <f>$M13/Q13</f>
        <v>42.319773591584074</v>
      </c>
      <c r="Y13" s="114">
        <f t="shared" si="2"/>
        <v>107.26200805970149</v>
      </c>
      <c r="Z13" s="114">
        <f t="shared" si="3"/>
        <v>76.670484674554316</v>
      </c>
      <c r="AA13" s="115">
        <f t="shared" si="4"/>
        <v>54.803777465728601</v>
      </c>
    </row>
    <row r="14" spans="1:30" outlineLevel="1" x14ac:dyDescent="0.7">
      <c r="H14" s="19"/>
      <c r="I14" s="19"/>
      <c r="L14" s="19"/>
      <c r="O14" s="19"/>
      <c r="R14" s="19"/>
      <c r="V14" s="132"/>
      <c r="W14" s="114"/>
      <c r="X14" s="115"/>
      <c r="Y14" s="114"/>
      <c r="Z14" s="114"/>
      <c r="AA14" s="115"/>
    </row>
    <row r="15" spans="1:30" outlineLevel="1" x14ac:dyDescent="0.7">
      <c r="B15" s="1" t="s">
        <v>185</v>
      </c>
      <c r="H15" s="19">
        <v>1832.9</v>
      </c>
      <c r="I15" s="19">
        <v>83.02</v>
      </c>
      <c r="J15" s="1">
        <f t="shared" si="0"/>
        <v>152167.35800000001</v>
      </c>
      <c r="L15" s="19">
        <v>-9.8000000000000043</v>
      </c>
      <c r="M15" s="1">
        <f t="shared" si="1"/>
        <v>152157.55800000002</v>
      </c>
      <c r="O15" s="19">
        <v>4290</v>
      </c>
      <c r="P15" s="1">
        <v>5130</v>
      </c>
      <c r="Q15" s="1">
        <v>3780</v>
      </c>
      <c r="R15" s="19">
        <v>2950</v>
      </c>
      <c r="S15" s="1">
        <v>3781</v>
      </c>
      <c r="T15" s="1">
        <v>4834</v>
      </c>
      <c r="V15" s="132">
        <f>$M15/O15</f>
        <v>35.467962237762244</v>
      </c>
      <c r="W15" s="114">
        <f>$M15/P15</f>
        <v>29.660342690058485</v>
      </c>
      <c r="X15" s="115">
        <f>$M15/Q15</f>
        <v>40.253322222222231</v>
      </c>
      <c r="Y15" s="114">
        <f t="shared" si="2"/>
        <v>51.582155254237293</v>
      </c>
      <c r="Z15" s="114">
        <f t="shared" si="3"/>
        <v>40.245267918540073</v>
      </c>
      <c r="AA15" s="115">
        <f t="shared" si="4"/>
        <v>31.478559784857264</v>
      </c>
      <c r="AD15" s="1" t="s">
        <v>217</v>
      </c>
    </row>
    <row r="16" spans="1:30" outlineLevel="1" x14ac:dyDescent="0.7">
      <c r="H16" s="19"/>
      <c r="I16" s="19"/>
      <c r="L16" s="19"/>
      <c r="O16" s="19"/>
      <c r="R16" s="19"/>
      <c r="V16" s="132"/>
      <c r="W16" s="114"/>
      <c r="X16" s="115"/>
      <c r="Y16" s="114"/>
      <c r="Z16" s="114"/>
      <c r="AA16" s="115"/>
    </row>
    <row r="17" spans="1:32" outlineLevel="1" x14ac:dyDescent="0.7">
      <c r="B17" s="1" t="s">
        <v>186</v>
      </c>
      <c r="H17" s="19">
        <v>2218.1</v>
      </c>
      <c r="I17" s="19">
        <v>41.41</v>
      </c>
      <c r="J17" s="1">
        <f t="shared" si="0"/>
        <v>91851.520999999993</v>
      </c>
      <c r="L17" s="19">
        <v>-1737</v>
      </c>
      <c r="M17" s="1">
        <f t="shared" si="1"/>
        <v>90114.520999999993</v>
      </c>
      <c r="O17" s="19">
        <v>2370</v>
      </c>
      <c r="P17" s="1">
        <v>3400.7130000000002</v>
      </c>
      <c r="Q17" s="1">
        <v>4879.6830837000007</v>
      </c>
      <c r="R17" s="19">
        <v>1570</v>
      </c>
      <c r="S17" s="1">
        <v>2270</v>
      </c>
      <c r="T17" s="1">
        <v>2880</v>
      </c>
      <c r="V17" s="132">
        <f>$M17/O17</f>
        <v>38.023004641350205</v>
      </c>
      <c r="W17" s="114">
        <f>$M17/P17</f>
        <v>26.49871394616364</v>
      </c>
      <c r="X17" s="115">
        <f>$M17/Q17</f>
        <v>18.467289669080518</v>
      </c>
      <c r="Y17" s="114">
        <f t="shared" si="2"/>
        <v>58.50415350318471</v>
      </c>
      <c r="Z17" s="114">
        <f t="shared" si="3"/>
        <v>40.463225110132157</v>
      </c>
      <c r="AA17" s="115">
        <f t="shared" si="4"/>
        <v>31.89288923611111</v>
      </c>
      <c r="AD17" s="1" t="s">
        <v>216</v>
      </c>
    </row>
    <row r="18" spans="1:32" outlineLevel="1" x14ac:dyDescent="0.7">
      <c r="H18" s="19"/>
      <c r="I18" s="19"/>
      <c r="L18" s="19"/>
      <c r="O18" s="19"/>
      <c r="R18" s="19"/>
      <c r="V18" s="132"/>
      <c r="W18" s="114"/>
      <c r="X18" s="115"/>
      <c r="Y18" s="114"/>
      <c r="Z18" s="114"/>
      <c r="AA18" s="115"/>
    </row>
    <row r="19" spans="1:32" outlineLevel="1" x14ac:dyDescent="0.7">
      <c r="B19" s="1" t="s">
        <v>187</v>
      </c>
      <c r="H19" s="19">
        <v>167.96</v>
      </c>
      <c r="I19" s="19">
        <v>218.22</v>
      </c>
      <c r="J19" s="1">
        <f t="shared" si="0"/>
        <v>36652.231200000002</v>
      </c>
      <c r="L19" s="19">
        <v>-18881.300000000003</v>
      </c>
      <c r="M19" s="1">
        <f t="shared" si="1"/>
        <v>17770.931199999999</v>
      </c>
      <c r="O19" s="19">
        <v>4020</v>
      </c>
      <c r="P19" s="1">
        <v>6444.4619999999995</v>
      </c>
      <c r="Q19" s="1">
        <v>10331.1170322</v>
      </c>
      <c r="R19" s="19">
        <v>2470</v>
      </c>
      <c r="S19" s="1">
        <v>4154.7870000000003</v>
      </c>
      <c r="T19" s="1">
        <v>6988.7672126999996</v>
      </c>
      <c r="V19" s="132">
        <f>$M19/O19</f>
        <v>4.4206296517412937</v>
      </c>
      <c r="W19" s="114">
        <f>$M19/P19</f>
        <v>2.757550777706502</v>
      </c>
      <c r="X19" s="115">
        <f>$M19/Q19</f>
        <v>1.7201364716527365</v>
      </c>
      <c r="Y19" s="114">
        <f t="shared" si="2"/>
        <v>14.83896</v>
      </c>
      <c r="Z19" s="114">
        <f t="shared" si="3"/>
        <v>8.8216871767433567</v>
      </c>
      <c r="AA19" s="115">
        <f t="shared" si="4"/>
        <v>5.2444487109823186</v>
      </c>
      <c r="AD19" s="1" t="s">
        <v>218</v>
      </c>
    </row>
    <row r="20" spans="1:32" outlineLevel="1" x14ac:dyDescent="0.7">
      <c r="H20" s="19"/>
      <c r="I20" s="19"/>
      <c r="L20" s="19"/>
      <c r="O20" s="19"/>
      <c r="R20" s="19"/>
      <c r="V20" s="132"/>
      <c r="W20" s="114"/>
      <c r="X20" s="115"/>
      <c r="Y20" s="114"/>
      <c r="Z20" s="114"/>
      <c r="AA20" s="115"/>
    </row>
    <row r="21" spans="1:32" outlineLevel="1" x14ac:dyDescent="0.7">
      <c r="B21" s="1" t="s">
        <v>188</v>
      </c>
      <c r="H21" s="19">
        <v>72.63</v>
      </c>
      <c r="I21" s="19">
        <v>279.02</v>
      </c>
      <c r="J21" s="1">
        <f t="shared" si="0"/>
        <v>20265.222599999997</v>
      </c>
      <c r="L21" s="19">
        <v>-3388.6000000000004</v>
      </c>
      <c r="M21" s="1">
        <f t="shared" si="1"/>
        <v>16876.622599999995</v>
      </c>
      <c r="O21" s="19">
        <v>2050</v>
      </c>
      <c r="P21" s="1">
        <v>2566.395</v>
      </c>
      <c r="Q21" s="1">
        <v>3212.8699005000003</v>
      </c>
      <c r="R21" s="19">
        <v>1570</v>
      </c>
      <c r="S21" s="1">
        <v>2204.2799999999997</v>
      </c>
      <c r="T21" s="1">
        <v>3094.8091199999999</v>
      </c>
      <c r="V21" s="132">
        <f>$M21/O21</f>
        <v>8.232498829268291</v>
      </c>
      <c r="W21" s="114">
        <f>$M21/P21</f>
        <v>6.576003538036816</v>
      </c>
      <c r="X21" s="115">
        <f>$M21/Q21</f>
        <v>5.252818546239169</v>
      </c>
      <c r="Y21" s="114">
        <f t="shared" si="2"/>
        <v>12.907785095541399</v>
      </c>
      <c r="Z21" s="114">
        <f t="shared" si="3"/>
        <v>9.1935791278784915</v>
      </c>
      <c r="AA21" s="115">
        <f t="shared" si="4"/>
        <v>6.5481332819647369</v>
      </c>
    </row>
    <row r="22" spans="1:32" outlineLevel="1" x14ac:dyDescent="0.7">
      <c r="H22" s="19"/>
      <c r="I22" s="19"/>
      <c r="L22" s="19"/>
      <c r="O22" s="19"/>
      <c r="R22" s="19"/>
      <c r="V22" s="132"/>
      <c r="W22" s="114"/>
      <c r="X22" s="115"/>
      <c r="Y22" s="114"/>
      <c r="Z22" s="114"/>
      <c r="AA22" s="115"/>
    </row>
    <row r="23" spans="1:32" outlineLevel="1" x14ac:dyDescent="0.7">
      <c r="B23" s="1" t="s">
        <v>189</v>
      </c>
      <c r="H23" s="19">
        <v>337</v>
      </c>
      <c r="I23" s="19">
        <v>78.459999999999994</v>
      </c>
      <c r="J23" s="1">
        <f t="shared" si="0"/>
        <v>26441.019999999997</v>
      </c>
      <c r="L23" s="19">
        <v>-5771.3</v>
      </c>
      <c r="M23" s="1">
        <f t="shared" si="1"/>
        <v>20669.719999999998</v>
      </c>
      <c r="O23" s="19">
        <v>2150</v>
      </c>
      <c r="P23" s="1">
        <v>3397</v>
      </c>
      <c r="Q23" s="1">
        <v>5367.26</v>
      </c>
      <c r="R23" s="19">
        <v>1440</v>
      </c>
      <c r="S23" s="1">
        <v>2208.5280000000002</v>
      </c>
      <c r="T23" s="1">
        <v>3387.2193936000003</v>
      </c>
      <c r="V23" s="132">
        <f>$M23/O23</f>
        <v>9.6138232558139531</v>
      </c>
      <c r="W23" s="114">
        <f>$M23/P23</f>
        <v>6.0846982631733875</v>
      </c>
      <c r="X23" s="115">
        <f>$M23/Q23</f>
        <v>3.8510748501097387</v>
      </c>
      <c r="Y23" s="114">
        <f t="shared" si="2"/>
        <v>18.361819444444443</v>
      </c>
      <c r="Z23" s="114">
        <f t="shared" si="3"/>
        <v>11.972236711511012</v>
      </c>
      <c r="AA23" s="115">
        <f t="shared" si="4"/>
        <v>7.8061137846456363</v>
      </c>
    </row>
    <row r="24" spans="1:32" outlineLevel="1" x14ac:dyDescent="0.7">
      <c r="H24" s="19"/>
      <c r="I24" s="19"/>
      <c r="L24" s="19"/>
      <c r="O24" s="19"/>
      <c r="R24" s="19"/>
      <c r="V24" s="132"/>
      <c r="W24" s="114"/>
      <c r="X24" s="115"/>
      <c r="Y24" s="114"/>
      <c r="Z24" s="114"/>
      <c r="AA24" s="115"/>
    </row>
    <row r="25" spans="1:32" outlineLevel="1" x14ac:dyDescent="0.7">
      <c r="A25" s="1" t="s">
        <v>84</v>
      </c>
      <c r="B25" s="58" t="s">
        <v>190</v>
      </c>
      <c r="C25" s="58"/>
      <c r="D25" s="58"/>
      <c r="E25" s="58"/>
      <c r="F25" s="58"/>
      <c r="G25" s="58"/>
      <c r="H25" s="95">
        <v>372.15</v>
      </c>
      <c r="I25" s="95">
        <v>31.23</v>
      </c>
      <c r="J25" s="58">
        <f t="shared" si="0"/>
        <v>11622.244499999999</v>
      </c>
      <c r="K25" s="58"/>
      <c r="L25" s="95">
        <v>-11185.3</v>
      </c>
      <c r="M25" s="58">
        <f t="shared" si="1"/>
        <v>436.94449999999961</v>
      </c>
      <c r="N25" s="58"/>
      <c r="O25" s="95">
        <v>210</v>
      </c>
      <c r="P25" s="58">
        <v>275.49900000000002</v>
      </c>
      <c r="Q25" s="58">
        <v>361.42713810000004</v>
      </c>
      <c r="R25" s="95">
        <v>100</v>
      </c>
      <c r="S25" s="58">
        <v>144.12</v>
      </c>
      <c r="T25" s="58">
        <v>207.70574400000001</v>
      </c>
      <c r="U25" s="58"/>
      <c r="V25" s="133">
        <f>$M25/O25</f>
        <v>2.0806880952380933</v>
      </c>
      <c r="W25" s="116">
        <f>$M25/P25</f>
        <v>1.5860112014925629</v>
      </c>
      <c r="X25" s="117">
        <f>$M25/Q25</f>
        <v>1.2089421461182734</v>
      </c>
      <c r="Y25" s="116">
        <f t="shared" si="2"/>
        <v>116.22244499999999</v>
      </c>
      <c r="Z25" s="116">
        <f t="shared" si="3"/>
        <v>80.642828892589492</v>
      </c>
      <c r="AA25" s="117">
        <f t="shared" si="4"/>
        <v>55.955335062856989</v>
      </c>
    </row>
    <row r="26" spans="1:32" outlineLevel="1" x14ac:dyDescent="0.7"/>
    <row r="27" spans="1:32" outlineLevel="1" x14ac:dyDescent="0.7"/>
    <row r="28" spans="1:32" outlineLevel="1" x14ac:dyDescent="0.7">
      <c r="A28" s="1" t="s">
        <v>84</v>
      </c>
      <c r="B28" s="124" t="s">
        <v>129</v>
      </c>
      <c r="C28" s="102"/>
      <c r="D28" s="102"/>
      <c r="E28" s="102"/>
      <c r="F28" s="102"/>
      <c r="G28" s="102"/>
      <c r="H28" s="102"/>
      <c r="I28" s="102"/>
      <c r="J28" s="102"/>
      <c r="K28" s="102"/>
      <c r="L28" s="102"/>
      <c r="M28" s="102"/>
      <c r="N28" s="102"/>
      <c r="O28" s="102"/>
      <c r="P28" s="102"/>
      <c r="Q28" s="102"/>
      <c r="R28" s="102"/>
      <c r="S28" s="102"/>
      <c r="T28" s="102"/>
      <c r="U28" s="102"/>
      <c r="V28" s="134">
        <f t="shared" ref="V28:AA28" si="5">AVERAGE(V7:V25)</f>
        <v>21.622090786697417</v>
      </c>
      <c r="W28" s="118">
        <f t="shared" si="5"/>
        <v>15.794396256787598</v>
      </c>
      <c r="X28" s="119">
        <f t="shared" si="5"/>
        <v>13.805353840665651</v>
      </c>
      <c r="Y28" s="118">
        <f t="shared" si="5"/>
        <v>45.236238619425315</v>
      </c>
      <c r="Z28" s="118">
        <f t="shared" si="5"/>
        <v>30.994387126307878</v>
      </c>
      <c r="AA28" s="119">
        <f t="shared" si="5"/>
        <v>23.045276072548209</v>
      </c>
      <c r="AD28" s="1" t="s">
        <v>202</v>
      </c>
      <c r="AF28" s="1" t="s">
        <v>204</v>
      </c>
    </row>
    <row r="29" spans="1:32" outlineLevel="1" x14ac:dyDescent="0.7">
      <c r="B29" s="125"/>
      <c r="V29" s="132"/>
      <c r="W29" s="114"/>
      <c r="X29" s="115"/>
      <c r="Y29" s="114"/>
      <c r="Z29" s="114"/>
      <c r="AA29" s="115"/>
      <c r="AD29" s="1" t="s">
        <v>203</v>
      </c>
      <c r="AF29" s="1" t="s">
        <v>205</v>
      </c>
    </row>
    <row r="30" spans="1:32" outlineLevel="1" x14ac:dyDescent="0.7">
      <c r="B30" s="125" t="s">
        <v>130</v>
      </c>
      <c r="V30" s="132">
        <f t="shared" ref="V30:AA30" si="6">MEDIAN(V7:V25)</f>
        <v>11.68962392330096</v>
      </c>
      <c r="W30" s="114">
        <f t="shared" si="6"/>
        <v>9.1612794042303616</v>
      </c>
      <c r="X30" s="115">
        <f t="shared" si="6"/>
        <v>7.6821610836500209</v>
      </c>
      <c r="Y30" s="114">
        <f t="shared" si="6"/>
        <v>30.792990731175571</v>
      </c>
      <c r="Z30" s="114">
        <f t="shared" si="6"/>
        <v>16.662545895106788</v>
      </c>
      <c r="AA30" s="115">
        <f t="shared" si="6"/>
        <v>14.452914582513699</v>
      </c>
      <c r="AD30" s="1" t="s">
        <v>194</v>
      </c>
      <c r="AF30" s="1" t="s">
        <v>206</v>
      </c>
    </row>
    <row r="31" spans="1:32" outlineLevel="1" x14ac:dyDescent="0.7">
      <c r="B31" s="125"/>
      <c r="V31" s="132"/>
      <c r="W31" s="114"/>
      <c r="X31" s="115"/>
      <c r="Y31" s="114"/>
      <c r="Z31" s="114"/>
      <c r="AA31" s="115"/>
      <c r="AD31" s="1" t="s">
        <v>208</v>
      </c>
      <c r="AF31" s="1" t="s">
        <v>207</v>
      </c>
    </row>
    <row r="32" spans="1:32" outlineLevel="1" x14ac:dyDescent="0.7">
      <c r="B32" s="125" t="s">
        <v>210</v>
      </c>
      <c r="V32" s="132">
        <f t="shared" ref="V32:AA32" si="7">MAX(V7:V25)</f>
        <v>73.737973505976086</v>
      </c>
      <c r="W32" s="114">
        <f t="shared" si="7"/>
        <v>55.862101140890971</v>
      </c>
      <c r="X32" s="115">
        <f t="shared" si="7"/>
        <v>42.319773591584074</v>
      </c>
      <c r="Y32" s="114">
        <f t="shared" si="7"/>
        <v>116.22244499999999</v>
      </c>
      <c r="Z32" s="114">
        <f t="shared" si="7"/>
        <v>80.642828892589492</v>
      </c>
      <c r="AA32" s="115">
        <f t="shared" si="7"/>
        <v>55.955335062856989</v>
      </c>
      <c r="AD32" s="1" t="s">
        <v>209</v>
      </c>
      <c r="AF32" s="1" t="s">
        <v>207</v>
      </c>
    </row>
    <row r="33" spans="1:27" outlineLevel="1" x14ac:dyDescent="0.7">
      <c r="B33" s="125"/>
      <c r="V33" s="132"/>
      <c r="W33" s="114"/>
      <c r="X33" s="115"/>
      <c r="Y33" s="114"/>
      <c r="Z33" s="114"/>
      <c r="AA33" s="115"/>
    </row>
    <row r="34" spans="1:27" outlineLevel="1" x14ac:dyDescent="0.7">
      <c r="A34" s="1" t="s">
        <v>84</v>
      </c>
      <c r="B34" s="104" t="s">
        <v>211</v>
      </c>
      <c r="C34" s="58"/>
      <c r="D34" s="58"/>
      <c r="E34" s="58"/>
      <c r="F34" s="58"/>
      <c r="G34" s="58"/>
      <c r="H34" s="58"/>
      <c r="I34" s="58"/>
      <c r="J34" s="58"/>
      <c r="K34" s="58"/>
      <c r="L34" s="58"/>
      <c r="M34" s="58"/>
      <c r="N34" s="58"/>
      <c r="O34" s="58"/>
      <c r="P34" s="58"/>
      <c r="Q34" s="58"/>
      <c r="R34" s="58"/>
      <c r="S34" s="58"/>
      <c r="T34" s="58"/>
      <c r="U34" s="58"/>
      <c r="V34" s="133">
        <f t="shared" ref="V34:AA34" si="8">MIN(V7:V25)</f>
        <v>2.0806880952380933</v>
      </c>
      <c r="W34" s="116">
        <f t="shared" si="8"/>
        <v>1.5860112014925629</v>
      </c>
      <c r="X34" s="117">
        <f t="shared" si="8"/>
        <v>1.2089421461182734</v>
      </c>
      <c r="Y34" s="114">
        <f t="shared" si="8"/>
        <v>11.097078374792705</v>
      </c>
      <c r="Z34" s="114">
        <f t="shared" si="8"/>
        <v>8.6094698609163327</v>
      </c>
      <c r="AA34" s="117">
        <f t="shared" si="8"/>
        <v>5.2444487109823186</v>
      </c>
    </row>
    <row r="35" spans="1:27" outlineLevel="1" x14ac:dyDescent="0.7">
      <c r="V35" s="102"/>
      <c r="W35" s="102"/>
      <c r="X35" s="102"/>
      <c r="Y35" s="102"/>
      <c r="Z35" s="102"/>
      <c r="AA35" s="102"/>
    </row>
    <row r="36" spans="1:27" outlineLevel="1" x14ac:dyDescent="0.7"/>
    <row r="37" spans="1:27" outlineLevel="1" x14ac:dyDescent="0.7">
      <c r="A37" s="1" t="s">
        <v>84</v>
      </c>
      <c r="B37" s="57" t="s">
        <v>214</v>
      </c>
      <c r="C37" s="58"/>
      <c r="D37" s="58"/>
      <c r="E37" s="58"/>
      <c r="F37" s="58"/>
      <c r="G37" s="58"/>
      <c r="H37" s="58"/>
      <c r="I37" s="58"/>
      <c r="J37" s="58"/>
      <c r="K37" s="58"/>
      <c r="L37" s="58"/>
      <c r="M37" s="58"/>
      <c r="N37" s="58"/>
      <c r="O37" s="58"/>
      <c r="P37" s="58"/>
      <c r="Q37" s="58"/>
      <c r="R37" s="58"/>
      <c r="S37" s="58"/>
      <c r="T37" s="58"/>
    </row>
    <row r="38" spans="1:27" ht="51" outlineLevel="1" x14ac:dyDescent="0.7">
      <c r="B38" s="103"/>
      <c r="C38" s="12"/>
      <c r="D38" s="12"/>
      <c r="H38" s="92" t="s">
        <v>191</v>
      </c>
      <c r="I38" s="92" t="s">
        <v>192</v>
      </c>
      <c r="J38" s="92" t="s">
        <v>193</v>
      </c>
      <c r="K38" s="92"/>
      <c r="L38" s="92" t="s">
        <v>195</v>
      </c>
      <c r="M38" s="92" t="s">
        <v>196</v>
      </c>
      <c r="O38" s="94" t="s">
        <v>0</v>
      </c>
      <c r="P38" s="99"/>
      <c r="Q38" s="100"/>
      <c r="R38" s="94" t="s">
        <v>17</v>
      </c>
      <c r="S38" s="94"/>
      <c r="T38" s="94"/>
      <c r="U38" s="102"/>
      <c r="V38" s="135" t="s">
        <v>213</v>
      </c>
      <c r="W38" s="108"/>
      <c r="X38" s="108"/>
      <c r="Y38" s="108"/>
      <c r="Z38" s="113"/>
      <c r="AA38" s="126"/>
    </row>
    <row r="39" spans="1:27" outlineLevel="1" x14ac:dyDescent="0.7">
      <c r="A39" s="1" t="s">
        <v>84</v>
      </c>
      <c r="B39" s="105" t="s">
        <v>41</v>
      </c>
      <c r="C39" s="57"/>
      <c r="D39" s="57" t="s">
        <v>212</v>
      </c>
      <c r="E39" s="58"/>
      <c r="F39" s="58"/>
      <c r="G39" s="58"/>
      <c r="H39" s="96" t="s">
        <v>201</v>
      </c>
      <c r="I39" s="96" t="s">
        <v>200</v>
      </c>
      <c r="J39" s="96" t="s">
        <v>199</v>
      </c>
      <c r="K39" s="58"/>
      <c r="L39" s="96" t="s">
        <v>199</v>
      </c>
      <c r="M39" s="96" t="s">
        <v>199</v>
      </c>
      <c r="N39" s="58"/>
      <c r="O39" s="121" t="s">
        <v>199</v>
      </c>
      <c r="P39" s="122"/>
      <c r="Q39" s="122"/>
      <c r="R39" s="121" t="s">
        <v>199</v>
      </c>
      <c r="S39" s="122"/>
      <c r="T39" s="122"/>
      <c r="U39" s="58"/>
      <c r="V39" s="136" t="s">
        <v>197</v>
      </c>
      <c r="W39" s="137"/>
      <c r="X39" s="138"/>
      <c r="Y39" s="137" t="s">
        <v>198</v>
      </c>
      <c r="Z39" s="137"/>
      <c r="AA39" s="138"/>
    </row>
    <row r="40" spans="1:27" outlineLevel="1" x14ac:dyDescent="0.7">
      <c r="B40" s="1" t="s">
        <v>197</v>
      </c>
      <c r="D40" s="1" t="s">
        <v>11</v>
      </c>
      <c r="H40" s="1">
        <f t="shared" ref="H40:H45" si="9">J40/I40</f>
        <v>4328.530595565755</v>
      </c>
      <c r="I40" s="106">
        <f>'DCF Model'!$D$147</f>
        <v>90.29</v>
      </c>
      <c r="J40" s="1">
        <f>M40-L40</f>
        <v>390823.02747363201</v>
      </c>
      <c r="L40" s="106">
        <f>-'DCF Model'!$D$140-'DCF Model'!$D$138</f>
        <v>28187.100000000006</v>
      </c>
      <c r="M40" s="1">
        <f>O40*V40</f>
        <v>419010.12747363199</v>
      </c>
      <c r="O40" s="106">
        <f>'DCF Model'!K21</f>
        <v>35844.619999999995</v>
      </c>
      <c r="P40" s="106"/>
      <c r="Q40" s="106"/>
      <c r="R40" s="106"/>
      <c r="S40" s="106"/>
      <c r="T40" s="106"/>
      <c r="V40" s="134">
        <f>V30</f>
        <v>11.68962392330096</v>
      </c>
      <c r="W40" s="118"/>
      <c r="X40" s="119"/>
      <c r="Y40" s="114"/>
      <c r="Z40" s="114"/>
      <c r="AA40" s="115"/>
    </row>
    <row r="41" spans="1:27" outlineLevel="1" x14ac:dyDescent="0.7">
      <c r="B41" s="1" t="s">
        <v>197</v>
      </c>
      <c r="D41" s="1" t="s">
        <v>12</v>
      </c>
      <c r="H41" s="1">
        <f t="shared" si="9"/>
        <v>2734.3448399563272</v>
      </c>
      <c r="I41" s="106">
        <f>'DCF Model'!$D$147</f>
        <v>90.29</v>
      </c>
      <c r="J41" s="1">
        <f t="shared" ref="J41:J42" si="10">M41-L41</f>
        <v>246883.9955996568</v>
      </c>
      <c r="L41" s="106">
        <f>-'DCF Model'!$D$140-'DCF Model'!$D$138</f>
        <v>28187.100000000006</v>
      </c>
      <c r="M41" s="1">
        <f>P41*W41</f>
        <v>275071.09559965681</v>
      </c>
      <c r="O41" s="106"/>
      <c r="P41" s="106">
        <f>'DCF Model'!L21</f>
        <v>30025.40185300303</v>
      </c>
      <c r="Q41" s="106"/>
      <c r="R41" s="106"/>
      <c r="S41" s="106"/>
      <c r="T41" s="106"/>
      <c r="V41" s="132"/>
      <c r="W41" s="114">
        <f>W30</f>
        <v>9.1612794042303616</v>
      </c>
      <c r="X41" s="115"/>
      <c r="Y41" s="114"/>
      <c r="Z41" s="114"/>
      <c r="AA41" s="115"/>
    </row>
    <row r="42" spans="1:27" outlineLevel="1" x14ac:dyDescent="0.7">
      <c r="A42" s="1" t="s">
        <v>84</v>
      </c>
      <c r="B42" s="58" t="s">
        <v>197</v>
      </c>
      <c r="C42" s="58"/>
      <c r="D42" s="58" t="s">
        <v>13</v>
      </c>
      <c r="H42" s="1">
        <f t="shared" si="9"/>
        <v>2779.4826062601765</v>
      </c>
      <c r="I42" s="106">
        <f>'DCF Model'!$D$147</f>
        <v>90.29</v>
      </c>
      <c r="J42" s="1">
        <f t="shared" si="10"/>
        <v>250959.48451923134</v>
      </c>
      <c r="L42" s="106">
        <f>-'DCF Model'!$D$140-'DCF Model'!$D$138</f>
        <v>28187.100000000006</v>
      </c>
      <c r="M42" s="1">
        <f>Q42*X42</f>
        <v>279146.58451923134</v>
      </c>
      <c r="O42" s="106"/>
      <c r="P42" s="106"/>
      <c r="Q42" s="106">
        <f>'DCF Model'!M21</f>
        <v>36336.986621295968</v>
      </c>
      <c r="R42" s="106"/>
      <c r="S42" s="106"/>
      <c r="T42" s="106"/>
      <c r="V42" s="132"/>
      <c r="W42" s="114"/>
      <c r="X42" s="115">
        <f>X30</f>
        <v>7.6821610836500209</v>
      </c>
      <c r="Y42" s="114"/>
      <c r="Z42" s="114"/>
      <c r="AA42" s="115"/>
    </row>
    <row r="43" spans="1:27" outlineLevel="1" x14ac:dyDescent="0.7">
      <c r="B43" s="1" t="s">
        <v>198</v>
      </c>
      <c r="D43" s="1" t="s">
        <v>11</v>
      </c>
      <c r="E43" s="102"/>
      <c r="F43" s="102"/>
      <c r="G43" s="102"/>
      <c r="H43" s="102">
        <f t="shared" si="9"/>
        <v>4146.9281102680234</v>
      </c>
      <c r="I43" s="123">
        <f>'DCF Model'!$D$147</f>
        <v>90.29</v>
      </c>
      <c r="J43" s="102">
        <f>R43*Y43</f>
        <v>374426.13907609985</v>
      </c>
      <c r="K43" s="102"/>
      <c r="L43" s="123">
        <f>-'DCF Model'!$D$140-'DCF Model'!$D$138</f>
        <v>28187.100000000006</v>
      </c>
      <c r="M43" s="102">
        <f t="shared" ref="M43:M45" si="11">J43+L43</f>
        <v>402613.23907609982</v>
      </c>
      <c r="N43" s="102"/>
      <c r="O43" s="123"/>
      <c r="P43" s="123"/>
      <c r="Q43" s="123"/>
      <c r="R43" s="123">
        <f>'DCF Model'!K35</f>
        <v>12159.459999999992</v>
      </c>
      <c r="S43" s="123"/>
      <c r="T43" s="123"/>
      <c r="U43" s="102"/>
      <c r="V43" s="134"/>
      <c r="W43" s="118"/>
      <c r="X43" s="119"/>
      <c r="Y43" s="118">
        <f>Y30</f>
        <v>30.792990731175571</v>
      </c>
      <c r="Z43" s="118"/>
      <c r="AA43" s="119"/>
    </row>
    <row r="44" spans="1:27" outlineLevel="1" x14ac:dyDescent="0.7">
      <c r="B44" s="1" t="s">
        <v>198</v>
      </c>
      <c r="D44" s="1" t="s">
        <v>12</v>
      </c>
      <c r="H44" s="1">
        <f t="shared" si="9"/>
        <v>1929.341012783914</v>
      </c>
      <c r="I44" s="106">
        <f>'DCF Model'!$D$147</f>
        <v>90.29</v>
      </c>
      <c r="J44" s="1">
        <f>S44*Z44</f>
        <v>174200.2000442596</v>
      </c>
      <c r="L44" s="106">
        <f>-'DCF Model'!$D$140-'DCF Model'!$D$138</f>
        <v>28187.100000000006</v>
      </c>
      <c r="M44" s="1">
        <f t="shared" si="11"/>
        <v>202387.30004425961</v>
      </c>
      <c r="O44" s="106"/>
      <c r="P44" s="106"/>
      <c r="Q44" s="106"/>
      <c r="R44" s="106"/>
      <c r="S44" s="106">
        <f>'DCF Model'!L35</f>
        <v>10454.596862980954</v>
      </c>
      <c r="T44" s="106"/>
      <c r="V44" s="132"/>
      <c r="W44" s="114"/>
      <c r="X44" s="115"/>
      <c r="Y44" s="114"/>
      <c r="Z44" s="114">
        <f>Z30</f>
        <v>16.662545895106788</v>
      </c>
      <c r="AA44" s="115"/>
    </row>
    <row r="45" spans="1:27" outlineLevel="1" x14ac:dyDescent="0.7">
      <c r="A45" s="1" t="s">
        <v>84</v>
      </c>
      <c r="B45" s="58" t="s">
        <v>198</v>
      </c>
      <c r="C45" s="58"/>
      <c r="D45" s="58" t="s">
        <v>13</v>
      </c>
      <c r="E45" s="58"/>
      <c r="F45" s="58"/>
      <c r="G45" s="58"/>
      <c r="H45" s="58">
        <f t="shared" si="9"/>
        <v>2055.8581040887984</v>
      </c>
      <c r="I45" s="107">
        <f>'DCF Model'!$D$147</f>
        <v>90.29</v>
      </c>
      <c r="J45" s="58">
        <f>T45*AA45</f>
        <v>185623.42821817761</v>
      </c>
      <c r="K45" s="58"/>
      <c r="L45" s="107">
        <f>-'DCF Model'!$D$140-'DCF Model'!$D$138</f>
        <v>28187.100000000006</v>
      </c>
      <c r="M45" s="58">
        <f t="shared" si="11"/>
        <v>213810.52821817761</v>
      </c>
      <c r="N45" s="58"/>
      <c r="O45" s="107"/>
      <c r="P45" s="107"/>
      <c r="Q45" s="107"/>
      <c r="R45" s="107"/>
      <c r="S45" s="107"/>
      <c r="T45" s="107">
        <f>'DCF Model'!M35</f>
        <v>12843.321473909476</v>
      </c>
      <c r="U45" s="58"/>
      <c r="V45" s="133"/>
      <c r="W45" s="116"/>
      <c r="X45" s="117"/>
      <c r="Y45" s="116"/>
      <c r="Z45" s="116"/>
      <c r="AA45" s="117">
        <f>AA30</f>
        <v>14.452914582513699</v>
      </c>
    </row>
    <row r="46" spans="1:27" outlineLevel="1" x14ac:dyDescent="0.7"/>
    <row r="51" spans="10:10" x14ac:dyDescent="0.7">
      <c r="J51" s="139"/>
    </row>
  </sheetData>
  <pageMargins left="0.7" right="0.7" top="0.75" bottom="0.75" header="0.3" footer="0.3"/>
  <pageSetup scale="56" fitToWidth="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2B32B-E7A9-4E60-9B9B-CECA3509E388}">
  <dimension ref="B1:AA31"/>
  <sheetViews>
    <sheetView showGridLines="0" zoomScale="58" zoomScaleNormal="75" workbookViewId="0">
      <selection activeCell="B3" sqref="B3"/>
    </sheetView>
  </sheetViews>
  <sheetFormatPr defaultRowHeight="17" x14ac:dyDescent="0.7"/>
  <cols>
    <col min="1" max="1" width="8.9375" style="1"/>
    <col min="2" max="2" width="12.29296875" style="1" customWidth="1"/>
    <col min="3" max="3" width="18.3515625" style="1" bestFit="1" customWidth="1"/>
    <col min="4" max="4" width="12.9375" style="1" bestFit="1" customWidth="1"/>
    <col min="5" max="5" width="14.1171875" style="1" bestFit="1" customWidth="1"/>
    <col min="6" max="6" width="11.8203125" style="1" bestFit="1" customWidth="1"/>
    <col min="7" max="9" width="13" style="1" bestFit="1" customWidth="1"/>
    <col min="10" max="10" width="14" style="1" bestFit="1" customWidth="1"/>
    <col min="11" max="11" width="14.05859375" style="1" bestFit="1" customWidth="1"/>
    <col min="12" max="12" width="13" style="1" bestFit="1" customWidth="1"/>
    <col min="13" max="13" width="11.8203125" style="1" bestFit="1" customWidth="1"/>
    <col min="14" max="14" width="9.46875" style="1" bestFit="1" customWidth="1"/>
    <col min="15" max="15" width="13.1171875" style="1" bestFit="1" customWidth="1"/>
    <col min="16" max="16" width="12.76171875" style="1" bestFit="1" customWidth="1"/>
    <col min="17" max="17" width="13.3515625" style="1" bestFit="1" customWidth="1"/>
    <col min="18" max="18" width="11.9375" style="1" bestFit="1" customWidth="1"/>
    <col min="19" max="19" width="11.52734375" style="1" bestFit="1" customWidth="1"/>
    <col min="20" max="20" width="12.3515625" style="1" bestFit="1" customWidth="1"/>
    <col min="21" max="23" width="9" style="1" bestFit="1" customWidth="1"/>
    <col min="24" max="16384" width="8.9375" style="1"/>
  </cols>
  <sheetData>
    <row r="1" spans="2:27" ht="111" customHeight="1" x14ac:dyDescent="0.7">
      <c r="B1" s="216"/>
      <c r="C1" s="216"/>
      <c r="D1" s="216"/>
      <c r="E1" s="216"/>
      <c r="F1" s="216"/>
      <c r="G1" s="216"/>
      <c r="H1" s="216"/>
      <c r="I1" s="217" t="s">
        <v>279</v>
      </c>
      <c r="J1" s="216"/>
      <c r="K1" s="216"/>
      <c r="L1" s="216"/>
      <c r="M1" s="216"/>
      <c r="N1" s="216"/>
      <c r="O1" s="216"/>
      <c r="P1" s="216"/>
      <c r="Q1" s="218"/>
      <c r="R1" s="218"/>
      <c r="S1" s="218"/>
      <c r="T1" s="218"/>
      <c r="U1" s="218"/>
      <c r="V1" s="218"/>
      <c r="W1" s="218"/>
      <c r="X1" s="219"/>
      <c r="Y1" s="219"/>
      <c r="Z1" s="219"/>
      <c r="AA1" s="219"/>
    </row>
    <row r="3" spans="2:27" x14ac:dyDescent="0.7">
      <c r="B3" s="87" t="s">
        <v>228</v>
      </c>
    </row>
    <row r="5" spans="2:27" x14ac:dyDescent="0.7">
      <c r="B5" s="102"/>
      <c r="C5" s="102"/>
      <c r="D5" s="102"/>
      <c r="E5" s="102"/>
      <c r="F5" s="102"/>
      <c r="G5" s="102"/>
      <c r="H5" s="102"/>
      <c r="I5" s="102"/>
      <c r="J5" s="102"/>
      <c r="K5" s="102"/>
      <c r="L5" s="102"/>
      <c r="M5" s="102"/>
      <c r="N5" s="102"/>
      <c r="O5" s="102"/>
      <c r="P5" s="102"/>
      <c r="Q5" s="102"/>
      <c r="R5" s="147" t="s">
        <v>0</v>
      </c>
      <c r="S5" s="149"/>
      <c r="T5" s="150"/>
      <c r="U5" s="147" t="s">
        <v>197</v>
      </c>
      <c r="V5" s="149"/>
      <c r="W5" s="126"/>
    </row>
    <row r="6" spans="2:27" ht="51" x14ac:dyDescent="0.7">
      <c r="B6" s="57" t="s">
        <v>212</v>
      </c>
      <c r="C6" s="57" t="s">
        <v>219</v>
      </c>
      <c r="D6" s="58"/>
      <c r="E6" s="58"/>
      <c r="F6" s="58"/>
      <c r="G6" s="57" t="s">
        <v>220</v>
      </c>
      <c r="H6" s="58"/>
      <c r="I6" s="58"/>
      <c r="J6" s="58"/>
      <c r="K6" s="142" t="s">
        <v>221</v>
      </c>
      <c r="L6" s="142" t="s">
        <v>222</v>
      </c>
      <c r="M6" s="142" t="s">
        <v>223</v>
      </c>
      <c r="N6" s="142" t="s">
        <v>192</v>
      </c>
      <c r="O6" s="142" t="s">
        <v>224</v>
      </c>
      <c r="P6" s="142" t="s">
        <v>225</v>
      </c>
      <c r="Q6" s="142" t="s">
        <v>196</v>
      </c>
      <c r="R6" s="145" t="s">
        <v>11</v>
      </c>
      <c r="S6" s="58" t="s">
        <v>12</v>
      </c>
      <c r="T6" s="148" t="s">
        <v>13</v>
      </c>
      <c r="U6" s="145" t="s">
        <v>11</v>
      </c>
      <c r="V6" s="58" t="s">
        <v>12</v>
      </c>
      <c r="W6" s="148" t="s">
        <v>13</v>
      </c>
    </row>
    <row r="7" spans="2:27" x14ac:dyDescent="0.7">
      <c r="B7" s="140">
        <v>2025</v>
      </c>
      <c r="C7" s="1" t="s">
        <v>227</v>
      </c>
      <c r="G7" s="1" t="s">
        <v>229</v>
      </c>
      <c r="K7" s="19">
        <v>565.8468468468468</v>
      </c>
      <c r="L7" s="19">
        <v>628.09</v>
      </c>
      <c r="M7" s="37">
        <f>L7/K7-1</f>
        <v>0.1100000000000001</v>
      </c>
      <c r="N7" s="19">
        <v>323.83</v>
      </c>
      <c r="O7" s="1">
        <f>L7*N7</f>
        <v>203394.3847</v>
      </c>
      <c r="P7" s="19">
        <v>58970.100000000006</v>
      </c>
      <c r="Q7" s="1">
        <f>O7+P7</f>
        <v>262364.48470000003</v>
      </c>
      <c r="R7" s="151">
        <v>44572.5</v>
      </c>
      <c r="S7" s="19">
        <v>59250.224249999999</v>
      </c>
      <c r="T7" s="152">
        <v>78761.323095524989</v>
      </c>
      <c r="U7" s="146">
        <f t="shared" ref="U7" si="0">$Q7/R7</f>
        <v>5.8862411733692301</v>
      </c>
      <c r="V7" s="1">
        <f>$Q7/S7</f>
        <v>4.4280758093502071</v>
      </c>
      <c r="W7" s="15">
        <f t="shared" ref="W7" si="1">$Q7/T7</f>
        <v>3.3311335359589318</v>
      </c>
    </row>
    <row r="8" spans="2:27" x14ac:dyDescent="0.7">
      <c r="B8" s="140"/>
      <c r="K8" s="19"/>
      <c r="L8" s="19"/>
      <c r="N8" s="19"/>
      <c r="P8" s="19"/>
      <c r="R8" s="151"/>
      <c r="S8" s="19"/>
      <c r="T8" s="152"/>
      <c r="U8" s="146"/>
      <c r="W8" s="15"/>
    </row>
    <row r="9" spans="2:27" x14ac:dyDescent="0.7">
      <c r="B9" s="140">
        <v>2025</v>
      </c>
      <c r="C9" s="1" t="s">
        <v>230</v>
      </c>
      <c r="G9" s="1" t="s">
        <v>231</v>
      </c>
      <c r="K9" s="19">
        <v>1610.55</v>
      </c>
      <c r="L9" s="19">
        <v>1751.9</v>
      </c>
      <c r="M9" s="37">
        <f>L9/K9-1</f>
        <v>8.7765049206792733E-2</v>
      </c>
      <c r="N9" s="19">
        <v>1854</v>
      </c>
      <c r="O9" s="1">
        <f>N9*L9</f>
        <v>3248022.6</v>
      </c>
      <c r="P9" s="19">
        <v>-173364.00000000003</v>
      </c>
      <c r="Q9" s="1">
        <f>O9+P9</f>
        <v>3074658.6</v>
      </c>
      <c r="R9" s="151">
        <v>388143.4</v>
      </c>
      <c r="S9" s="19">
        <v>438524.41331999999</v>
      </c>
      <c r="T9" s="152">
        <v>495444.88216893596</v>
      </c>
      <c r="U9" s="146">
        <f t="shared" ref="U9:W9" si="2">$Q9/R9</f>
        <v>7.921450165067859</v>
      </c>
      <c r="V9" s="1">
        <f t="shared" si="2"/>
        <v>7.0113738405628068</v>
      </c>
      <c r="W9" s="15">
        <f t="shared" si="2"/>
        <v>6.2058539923551139</v>
      </c>
    </row>
    <row r="10" spans="2:27" x14ac:dyDescent="0.7">
      <c r="B10" s="140"/>
      <c r="K10" s="19"/>
      <c r="L10" s="19"/>
      <c r="N10" s="19"/>
      <c r="P10" s="19"/>
      <c r="R10" s="151"/>
      <c r="S10" s="19"/>
      <c r="T10" s="152"/>
      <c r="U10" s="146"/>
      <c r="W10" s="15"/>
    </row>
    <row r="11" spans="2:27" x14ac:dyDescent="0.7">
      <c r="B11" s="140">
        <v>2025</v>
      </c>
      <c r="C11" s="1" t="s">
        <v>232</v>
      </c>
      <c r="G11" s="1" t="s">
        <v>233</v>
      </c>
      <c r="K11" s="19">
        <v>20</v>
      </c>
      <c r="L11" s="19">
        <v>21.5</v>
      </c>
      <c r="M11" s="37">
        <f>L11/K11-1</f>
        <v>7.4999999999999956E-2</v>
      </c>
      <c r="N11" s="19">
        <v>2011.8</v>
      </c>
      <c r="O11" s="1">
        <f>L11*N11</f>
        <v>43253.7</v>
      </c>
      <c r="P11" s="19">
        <v>435439.39999999991</v>
      </c>
      <c r="Q11" s="1">
        <f>O11+P11</f>
        <v>478693.09999999992</v>
      </c>
      <c r="R11" s="151">
        <f>354315.1+4869.2+219505.6</f>
        <v>578689.9</v>
      </c>
      <c r="S11" s="19">
        <f t="shared" ref="S11:T11" si="3">R11*(1-0.0368)</f>
        <v>557394.11168000009</v>
      </c>
      <c r="T11" s="152">
        <f t="shared" si="3"/>
        <v>536882.00837017607</v>
      </c>
      <c r="U11" s="146">
        <f>$Q11/R11</f>
        <v>0.8272014078697415</v>
      </c>
      <c r="V11" s="1">
        <f>$Q11/S11</f>
        <v>0.85880544836974804</v>
      </c>
      <c r="W11" s="15">
        <f t="shared" ref="W11" si="4">$Q11/T11</f>
        <v>0.89161695221111725</v>
      </c>
    </row>
    <row r="12" spans="2:27" x14ac:dyDescent="0.7">
      <c r="B12" s="140"/>
      <c r="K12" s="19"/>
      <c r="L12" s="19"/>
      <c r="N12" s="19"/>
      <c r="P12" s="19"/>
      <c r="R12" s="151"/>
      <c r="S12" s="19"/>
      <c r="T12" s="152"/>
      <c r="U12" s="146"/>
      <c r="W12" s="15"/>
    </row>
    <row r="13" spans="2:27" x14ac:dyDescent="0.7">
      <c r="B13" s="140">
        <v>2024</v>
      </c>
      <c r="C13" s="1" t="s">
        <v>272</v>
      </c>
      <c r="G13" s="1" t="s">
        <v>273</v>
      </c>
      <c r="K13" s="19">
        <v>182.5</v>
      </c>
      <c r="L13" s="19">
        <v>253.1</v>
      </c>
      <c r="M13" s="37">
        <f>L13/K13-1</f>
        <v>0.38684931506849307</v>
      </c>
      <c r="N13" s="19">
        <v>12.57</v>
      </c>
      <c r="O13" s="1">
        <f>N13*L13</f>
        <v>3181.4670000000001</v>
      </c>
      <c r="P13" s="19">
        <v>-14.90000000000002</v>
      </c>
      <c r="Q13" s="1">
        <f>O13+P13</f>
        <v>3166.567</v>
      </c>
      <c r="R13" s="151">
        <v>106.8</v>
      </c>
      <c r="S13" s="19">
        <f t="shared" ref="S13:T13" si="5">R13*(1.1991)</f>
        <v>128.06388000000001</v>
      </c>
      <c r="T13" s="152">
        <f t="shared" si="5"/>
        <v>153.56139850800002</v>
      </c>
      <c r="U13" s="146">
        <f t="shared" ref="U13:W13" si="6">$Q$13/R13</f>
        <v>29.649503745318352</v>
      </c>
      <c r="V13" s="1">
        <f t="shared" si="6"/>
        <v>24.726464636242472</v>
      </c>
      <c r="W13" s="15">
        <f t="shared" si="6"/>
        <v>20.620852836496098</v>
      </c>
    </row>
    <row r="14" spans="2:27" x14ac:dyDescent="0.7">
      <c r="B14" s="143"/>
      <c r="C14" s="58"/>
      <c r="D14" s="58"/>
      <c r="E14" s="58"/>
      <c r="F14" s="58"/>
      <c r="G14" s="58"/>
      <c r="H14" s="58"/>
      <c r="I14" s="58"/>
      <c r="J14" s="58"/>
      <c r="K14" s="95"/>
      <c r="L14" s="95"/>
      <c r="M14" s="58"/>
      <c r="N14" s="95"/>
      <c r="O14" s="58"/>
      <c r="P14" s="95"/>
      <c r="Q14" s="58"/>
      <c r="R14" s="153"/>
      <c r="S14" s="95"/>
      <c r="T14" s="154"/>
      <c r="U14" s="145"/>
      <c r="V14" s="58"/>
      <c r="W14" s="148"/>
    </row>
    <row r="17" spans="2:27" x14ac:dyDescent="0.7">
      <c r="B17" s="61" t="s">
        <v>129</v>
      </c>
      <c r="C17" s="102"/>
      <c r="D17" s="102"/>
      <c r="E17" s="102"/>
      <c r="F17" s="102"/>
      <c r="G17" s="102"/>
      <c r="H17" s="102"/>
      <c r="I17" s="102"/>
      <c r="J17" s="102"/>
      <c r="K17" s="102"/>
      <c r="L17" s="102"/>
      <c r="M17" s="102"/>
      <c r="N17" s="102"/>
      <c r="O17" s="102"/>
      <c r="P17" s="102"/>
      <c r="Q17" s="102"/>
      <c r="R17" s="102"/>
      <c r="S17" s="102"/>
      <c r="T17" s="102"/>
      <c r="U17" s="129">
        <f>AVERAGE(U7:U14)</f>
        <v>11.071099122906295</v>
      </c>
      <c r="V17" s="102">
        <f>AVERAGE(V7:V14)</f>
        <v>9.2561799336313086</v>
      </c>
      <c r="W17" s="120">
        <f>AVERAGE(W7:W14)</f>
        <v>7.7623643292553162</v>
      </c>
    </row>
    <row r="18" spans="2:27" x14ac:dyDescent="0.7">
      <c r="B18" s="12"/>
      <c r="U18" s="146"/>
      <c r="W18" s="15"/>
    </row>
    <row r="19" spans="2:27" x14ac:dyDescent="0.7">
      <c r="B19" s="12" t="s">
        <v>130</v>
      </c>
      <c r="U19" s="146">
        <f>MEDIAN(U7:U14)</f>
        <v>6.9038456692185441</v>
      </c>
      <c r="V19" s="1">
        <f>MEDIAN(V7:V14)</f>
        <v>5.7197248249565069</v>
      </c>
      <c r="W19" s="15">
        <f>MEDIAN(W7:W14)</f>
        <v>4.7684937641570233</v>
      </c>
    </row>
    <row r="20" spans="2:27" x14ac:dyDescent="0.7">
      <c r="B20" s="12"/>
      <c r="U20" s="146"/>
      <c r="W20" s="15"/>
    </row>
    <row r="21" spans="2:27" x14ac:dyDescent="0.7">
      <c r="B21" s="12" t="s">
        <v>210</v>
      </c>
      <c r="U21" s="146">
        <f>MAX(U7:U14)</f>
        <v>29.649503745318352</v>
      </c>
      <c r="V21" s="1">
        <f>MAX(V7:V14)</f>
        <v>24.726464636242472</v>
      </c>
      <c r="W21" s="15">
        <f>MAX(W7:W14)</f>
        <v>20.620852836496098</v>
      </c>
    </row>
    <row r="22" spans="2:27" x14ac:dyDescent="0.7">
      <c r="B22" s="12"/>
      <c r="U22" s="146"/>
      <c r="W22" s="15"/>
    </row>
    <row r="23" spans="2:27" x14ac:dyDescent="0.7">
      <c r="B23" s="57" t="s">
        <v>211</v>
      </c>
      <c r="C23" s="58"/>
      <c r="D23" s="58"/>
      <c r="E23" s="58"/>
      <c r="F23" s="58"/>
      <c r="G23" s="58"/>
      <c r="H23" s="58"/>
      <c r="I23" s="58"/>
      <c r="J23" s="58"/>
      <c r="K23" s="58"/>
      <c r="L23" s="58"/>
      <c r="M23" s="58"/>
      <c r="N23" s="58"/>
      <c r="O23" s="58"/>
      <c r="P23" s="58"/>
      <c r="Q23" s="58"/>
      <c r="R23" s="58"/>
      <c r="S23" s="58"/>
      <c r="T23" s="58"/>
      <c r="U23" s="145">
        <f>MIN(U7:U14)</f>
        <v>0.8272014078697415</v>
      </c>
      <c r="V23" s="58">
        <f>MIN(V7:V14)</f>
        <v>0.85880544836974804</v>
      </c>
      <c r="W23" s="148">
        <f>MIN(W7:W14)</f>
        <v>0.89161695221111725</v>
      </c>
    </row>
    <row r="26" spans="2:27" x14ac:dyDescent="0.7">
      <c r="B26" s="57" t="s">
        <v>226</v>
      </c>
      <c r="C26" s="58"/>
      <c r="D26" s="58"/>
      <c r="E26" s="58"/>
      <c r="F26" s="58"/>
      <c r="G26" s="58"/>
      <c r="H26" s="58"/>
      <c r="I26" s="58"/>
      <c r="J26" s="58"/>
      <c r="K26" s="58"/>
      <c r="L26" s="58"/>
      <c r="M26" s="58"/>
      <c r="N26" s="58"/>
      <c r="O26" s="58"/>
      <c r="P26" s="58"/>
      <c r="Q26" s="58"/>
      <c r="R26" s="58"/>
      <c r="S26" s="58"/>
      <c r="T26" s="58"/>
      <c r="U26" s="58"/>
      <c r="V26" s="58"/>
      <c r="W26" s="58"/>
    </row>
    <row r="27" spans="2:27" x14ac:dyDescent="0.7">
      <c r="R27" s="147" t="s">
        <v>0</v>
      </c>
      <c r="S27" s="141"/>
      <c r="T27" s="141"/>
      <c r="U27" s="144" t="s">
        <v>275</v>
      </c>
      <c r="V27" s="141"/>
      <c r="W27" s="126"/>
    </row>
    <row r="28" spans="2:27" ht="51" x14ac:dyDescent="0.7">
      <c r="B28" s="57" t="s">
        <v>41</v>
      </c>
      <c r="C28" s="58"/>
      <c r="D28" s="57" t="s">
        <v>212</v>
      </c>
      <c r="E28" s="58"/>
      <c r="F28" s="58"/>
      <c r="G28" s="58"/>
      <c r="H28" s="58"/>
      <c r="I28" s="58"/>
      <c r="J28" s="58"/>
      <c r="K28" s="142" t="s">
        <v>221</v>
      </c>
      <c r="L28" s="142" t="s">
        <v>222</v>
      </c>
      <c r="M28" s="142" t="s">
        <v>223</v>
      </c>
      <c r="N28" s="142" t="s">
        <v>192</v>
      </c>
      <c r="O28" s="142" t="s">
        <v>224</v>
      </c>
      <c r="P28" s="142" t="s">
        <v>225</v>
      </c>
      <c r="Q28" s="142" t="s">
        <v>196</v>
      </c>
      <c r="R28" s="215" t="s">
        <v>11</v>
      </c>
      <c r="S28" s="110" t="s">
        <v>12</v>
      </c>
      <c r="T28" s="110" t="s">
        <v>13</v>
      </c>
      <c r="U28" s="215" t="s">
        <v>11</v>
      </c>
      <c r="V28" s="110" t="s">
        <v>12</v>
      </c>
      <c r="W28" s="112" t="s">
        <v>13</v>
      </c>
    </row>
    <row r="29" spans="2:27" x14ac:dyDescent="0.7">
      <c r="B29" s="1" t="s">
        <v>197</v>
      </c>
      <c r="D29" s="1" t="s">
        <v>11</v>
      </c>
      <c r="K29" s="106">
        <f>'DCF Model'!$D$149</f>
        <v>2652.4216314722557</v>
      </c>
      <c r="L29" s="1">
        <f t="shared" ref="L29:L31" si="7">O29/N29</f>
        <v>5737.3558260497775</v>
      </c>
      <c r="M29" s="1">
        <f t="shared" ref="M29:M31" si="8">L29/K29-1</f>
        <v>1.1630632769591744</v>
      </c>
      <c r="N29" s="106">
        <f>'DCF Model'!$D$147</f>
        <v>90.29</v>
      </c>
      <c r="O29" s="1">
        <f t="shared" ref="O29:O31" si="9">Q29-P29</f>
        <v>518025.85753403441</v>
      </c>
      <c r="P29" s="106">
        <f>-'DCF Model'!$D$140-'DCF Model'!$D$138</f>
        <v>28187.100000000006</v>
      </c>
      <c r="Q29" s="1">
        <f>R29*U29</f>
        <v>546212.95753403439</v>
      </c>
      <c r="R29" s="155">
        <f>'DCF Model'!$K$21</f>
        <v>35844.619999999995</v>
      </c>
      <c r="S29" s="106"/>
      <c r="T29" s="106"/>
      <c r="U29" s="146">
        <f>(U21+U23)/2</f>
        <v>15.238352576594046</v>
      </c>
      <c r="W29" s="15"/>
      <c r="Y29" s="1" t="s">
        <v>197</v>
      </c>
      <c r="AA29" s="1" t="s">
        <v>274</v>
      </c>
    </row>
    <row r="30" spans="2:27" x14ac:dyDescent="0.7">
      <c r="B30" s="1" t="s">
        <v>197</v>
      </c>
      <c r="D30" s="1" t="s">
        <v>12</v>
      </c>
      <c r="K30" s="106">
        <f>'DCF Model'!$D$149</f>
        <v>2652.4216314722557</v>
      </c>
      <c r="L30" s="1">
        <f t="shared" si="7"/>
        <v>3941.9305338802674</v>
      </c>
      <c r="M30" s="1">
        <f t="shared" si="8"/>
        <v>0.48616286607957404</v>
      </c>
      <c r="N30" s="106">
        <f>'DCF Model'!$D$147</f>
        <v>90.29</v>
      </c>
      <c r="O30" s="1">
        <f t="shared" si="9"/>
        <v>355916.90790404938</v>
      </c>
      <c r="P30" s="106">
        <f>-'DCF Model'!$D$140-'DCF Model'!$D$138</f>
        <v>28187.100000000006</v>
      </c>
      <c r="Q30" s="1">
        <f>S30*V30</f>
        <v>384104.00790404936</v>
      </c>
      <c r="R30" s="155"/>
      <c r="S30" s="106">
        <f>'DCF Model'!$L$21</f>
        <v>30025.40185300303</v>
      </c>
      <c r="T30" s="106"/>
      <c r="U30" s="146"/>
      <c r="V30" s="1">
        <f>(V21+V23)/2</f>
        <v>12.792635042306109</v>
      </c>
      <c r="W30" s="15"/>
    </row>
    <row r="31" spans="2:27" x14ac:dyDescent="0.7">
      <c r="B31" s="58" t="s">
        <v>197</v>
      </c>
      <c r="C31" s="58"/>
      <c r="D31" s="58" t="s">
        <v>13</v>
      </c>
      <c r="E31" s="58"/>
      <c r="F31" s="58"/>
      <c r="G31" s="58"/>
      <c r="H31" s="58"/>
      <c r="I31" s="58"/>
      <c r="J31" s="58"/>
      <c r="K31" s="107">
        <f>'DCF Model'!$D$149</f>
        <v>2652.4216314722557</v>
      </c>
      <c r="L31" s="58">
        <f t="shared" si="7"/>
        <v>4016.6359890535373</v>
      </c>
      <c r="M31" s="58">
        <f t="shared" si="8"/>
        <v>0.51432786605048886</v>
      </c>
      <c r="N31" s="107">
        <f>'DCF Model'!$D$147</f>
        <v>90.29</v>
      </c>
      <c r="O31" s="58">
        <f t="shared" si="9"/>
        <v>362662.06345164392</v>
      </c>
      <c r="P31" s="107">
        <f>-'DCF Model'!$D$140-'DCF Model'!$D$138</f>
        <v>28187.100000000006</v>
      </c>
      <c r="Q31" s="58">
        <f>T31*W31</f>
        <v>390849.16345164389</v>
      </c>
      <c r="R31" s="156"/>
      <c r="S31" s="107"/>
      <c r="T31" s="107">
        <f>'DCF Model'!$M$21</f>
        <v>36336.986621295968</v>
      </c>
      <c r="U31" s="145"/>
      <c r="V31" s="58"/>
      <c r="W31" s="148">
        <f>(W23+W21)/2</f>
        <v>10.756234894353607</v>
      </c>
    </row>
  </sheetData>
  <pageMargins left="0.7" right="0.7" top="0.75" bottom="0.75" header="0.3" footer="0.3"/>
  <pageSetup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8B7E-C416-4297-9ADB-917F3F57FB1B}">
  <dimension ref="B1:AA47"/>
  <sheetViews>
    <sheetView showGridLines="0" tabSelected="1" zoomScale="67" zoomScaleNormal="10" workbookViewId="0">
      <pane ySplit="1" topLeftCell="A17" activePane="bottomLeft" state="frozen"/>
      <selection activeCell="J21" sqref="J21"/>
      <selection pane="bottomLeft" activeCell="G46" sqref="G46"/>
    </sheetView>
  </sheetViews>
  <sheetFormatPr defaultRowHeight="17" x14ac:dyDescent="0.7"/>
  <cols>
    <col min="1" max="1" width="8.9375" style="1"/>
    <col min="2" max="2" width="12.29296875" style="1" customWidth="1"/>
    <col min="3" max="3" width="18.3515625" style="1" bestFit="1" customWidth="1"/>
    <col min="4" max="4" width="12.9375" style="1" bestFit="1" customWidth="1"/>
    <col min="5" max="5" width="14.1171875" style="1" bestFit="1" customWidth="1"/>
    <col min="6" max="6" width="11.8203125" style="1" bestFit="1" customWidth="1"/>
    <col min="7" max="9" width="13" style="1" bestFit="1" customWidth="1"/>
    <col min="10" max="11" width="14" style="1" bestFit="1" customWidth="1"/>
    <col min="12" max="12" width="12.9375" style="1" bestFit="1" customWidth="1"/>
    <col min="13" max="13" width="11.76171875" style="1" bestFit="1" customWidth="1"/>
    <col min="14" max="14" width="16.5859375" style="1" bestFit="1" customWidth="1"/>
    <col min="15" max="16" width="9" style="1" bestFit="1" customWidth="1"/>
    <col min="17" max="16384" width="8.9375" style="1"/>
  </cols>
  <sheetData>
    <row r="1" spans="2:27" ht="111" customHeight="1" x14ac:dyDescent="0.7">
      <c r="B1" s="216"/>
      <c r="C1" s="216"/>
      <c r="D1" s="216"/>
      <c r="E1" s="216"/>
      <c r="F1" s="216"/>
      <c r="G1" s="216"/>
      <c r="H1" s="216"/>
      <c r="I1" s="217" t="s">
        <v>279</v>
      </c>
      <c r="J1" s="216"/>
      <c r="K1" s="216"/>
      <c r="L1" s="216"/>
      <c r="M1" s="216"/>
      <c r="N1" s="216"/>
      <c r="O1" s="216"/>
      <c r="Q1" s="219"/>
      <c r="R1" s="219"/>
      <c r="S1" s="219"/>
      <c r="T1" s="219"/>
      <c r="U1" s="219"/>
      <c r="V1" s="219"/>
      <c r="W1" s="219"/>
      <c r="X1" s="219"/>
      <c r="Y1" s="219"/>
      <c r="Z1" s="219"/>
      <c r="AA1" s="219"/>
    </row>
    <row r="2" spans="2:27" x14ac:dyDescent="0.7">
      <c r="C2" s="1" t="s">
        <v>237</v>
      </c>
    </row>
    <row r="4" spans="2:27" ht="30.35" x14ac:dyDescent="1.2">
      <c r="C4" s="5" t="s">
        <v>276</v>
      </c>
      <c r="D4" s="6"/>
      <c r="E4" s="6"/>
      <c r="F4" s="6"/>
      <c r="G4" s="6"/>
      <c r="H4" s="7"/>
      <c r="I4" s="7"/>
      <c r="J4" s="7"/>
      <c r="K4" s="7"/>
      <c r="L4" s="7"/>
      <c r="M4" s="8"/>
      <c r="N4" s="6"/>
      <c r="O4" s="6"/>
    </row>
    <row r="6" spans="2:27" x14ac:dyDescent="0.7">
      <c r="C6" s="87" t="s">
        <v>228</v>
      </c>
    </row>
    <row r="40" spans="3:7" x14ac:dyDescent="0.7">
      <c r="C40" s="57" t="s">
        <v>41</v>
      </c>
      <c r="D40" s="57"/>
      <c r="E40" s="13" t="s">
        <v>269</v>
      </c>
      <c r="F40" s="13" t="s">
        <v>270</v>
      </c>
      <c r="G40" s="13" t="s">
        <v>268</v>
      </c>
    </row>
    <row r="41" spans="3:7" x14ac:dyDescent="0.7">
      <c r="C41" s="1" t="s">
        <v>278</v>
      </c>
      <c r="E41" s="1">
        <f>MIN('Comparable Company Analysis'!H40:H45)</f>
        <v>1929.341012783914</v>
      </c>
      <c r="F41" s="1">
        <f t="shared" ref="F41:F44" si="0">G41-E41</f>
        <v>2399.1895827818407</v>
      </c>
      <c r="G41" s="1">
        <f>MAX('Comparable Company Analysis'!H40:H45)</f>
        <v>4328.530595565755</v>
      </c>
    </row>
    <row r="42" spans="3:7" x14ac:dyDescent="0.7">
      <c r="C42" s="1" t="s">
        <v>267</v>
      </c>
      <c r="E42" s="1">
        <f>MIN('Precedent Transaction Analysis'!L29:L31)</f>
        <v>3941.9305338802674</v>
      </c>
      <c r="F42" s="1">
        <f t="shared" si="0"/>
        <v>1795.4252921695102</v>
      </c>
      <c r="G42" s="1">
        <f>MAX('Precedent Transaction Analysis'!L29:L31)</f>
        <v>5737.3558260497775</v>
      </c>
    </row>
    <row r="43" spans="3:7" x14ac:dyDescent="0.7">
      <c r="C43" s="1" t="s">
        <v>166</v>
      </c>
      <c r="E43" s="1">
        <f>MIN(Output!$G$11:$G$13)</f>
        <v>1667.725098898823</v>
      </c>
      <c r="F43" s="1">
        <f t="shared" si="0"/>
        <v>5532.8558943763437</v>
      </c>
      <c r="G43" s="1">
        <f>MAX(Output!G11:G13)</f>
        <v>7200.5809932751663</v>
      </c>
    </row>
    <row r="44" spans="3:7" x14ac:dyDescent="0.7">
      <c r="C44" s="58" t="s">
        <v>277</v>
      </c>
      <c r="D44" s="58"/>
      <c r="E44" s="95">
        <v>1953.5</v>
      </c>
      <c r="F44" s="58">
        <f t="shared" si="0"/>
        <v>1435.4</v>
      </c>
      <c r="G44" s="95">
        <v>3388.9</v>
      </c>
    </row>
    <row r="45" spans="3:7" x14ac:dyDescent="0.7">
      <c r="E45" s="19"/>
      <c r="G45" s="19"/>
    </row>
    <row r="46" spans="3:7" x14ac:dyDescent="0.7">
      <c r="C46" s="12" t="s">
        <v>271</v>
      </c>
      <c r="E46" s="214">
        <f>AVERAGE(E41:E43,G41:G43)</f>
        <v>4134.2440100756166</v>
      </c>
    </row>
    <row r="47" spans="3:7" x14ac:dyDescent="0.7">
      <c r="C47" s="58"/>
      <c r="D47" s="58"/>
      <c r="E47" s="58"/>
      <c r="F47" s="58"/>
      <c r="G47" s="58"/>
    </row>
  </sheetData>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Drop Down 1">
              <controlPr defaultSize="0" autoLine="0" autoPict="0">
                <anchor moveWithCells="1">
                  <from>
                    <xdr:col>3</xdr:col>
                    <xdr:colOff>249767</xdr:colOff>
                    <xdr:row>1</xdr:row>
                    <xdr:rowOff>0</xdr:rowOff>
                  </from>
                  <to>
                    <xdr:col>4</xdr:col>
                    <xdr:colOff>131233</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Cover Page</vt:lpstr>
      <vt:lpstr>Output</vt:lpstr>
      <vt:lpstr>Scenario Drivers</vt:lpstr>
      <vt:lpstr>Assumptions</vt:lpstr>
      <vt:lpstr>WACC</vt:lpstr>
      <vt:lpstr>DCF Model</vt:lpstr>
      <vt:lpstr>Comparable Company Analysis</vt:lpstr>
      <vt:lpstr>Precedent Transaction Analysis</vt:lpstr>
      <vt:lpstr>Valuation Football Field</vt:lpstr>
      <vt:lpstr>Multiple</vt:lpstr>
      <vt:lpstr>WACC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Devansh Wadhwani</dc:creator>
  <cp:lastModifiedBy>Devansh Wadhwani</cp:lastModifiedBy>
  <cp:lastPrinted>2025-07-31T08:32:25Z</cp:lastPrinted>
  <dcterms:created xsi:type="dcterms:W3CDTF">2025-07-22T05:26:42Z</dcterms:created>
  <dcterms:modified xsi:type="dcterms:W3CDTF">2026-04-15T02:18:31Z</dcterms:modified>
</cp:coreProperties>
</file>