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09cbd7fb6392cad/Desktop/"/>
    </mc:Choice>
  </mc:AlternateContent>
  <xr:revisionPtr revIDLastSave="107" documentId="8_{DBF4E6D6-1CA7-4436-B762-2601416CB0DE}" xr6:coauthVersionLast="47" xr6:coauthVersionMax="47" xr10:uidLastSave="{3CC5D39E-B768-4D53-8E67-9C07818A9B25}"/>
  <bookViews>
    <workbookView xWindow="-108" yWindow="-108" windowWidth="23256" windowHeight="13896" tabRatio="500" xr2:uid="{00000000-000D-0000-FFFF-FFFF00000000}"/>
  </bookViews>
  <sheets>
    <sheet name="Cover" sheetId="6" r:id="rId1"/>
    <sheet name="Output" sheetId="7" r:id="rId2"/>
    <sheet name="Key Drivers" sheetId="2" r:id="rId3"/>
    <sheet name="Financial Statements" sheetId="1" r:id="rId4"/>
    <sheet name="Schedules" sheetId="3" r:id="rId5"/>
    <sheet name="WACC" sheetId="4" r:id="rId6"/>
    <sheet name="Model" sheetId="5" r:id="rId7"/>
  </sheets>
  <definedNames>
    <definedName name="CircularitySwitch">Output!$H$4</definedName>
    <definedName name="_xlnm.Print_Area" localSheetId="0">Cover!$B$3:$L$24</definedName>
    <definedName name="_xlnm.Print_Area" localSheetId="3">'Financial Statements'!$A$3:$V$245</definedName>
    <definedName name="_xlnm.Print_Area" localSheetId="2">'Key Drivers'!$A$3:$N$58</definedName>
    <definedName name="_xlnm.Print_Area" localSheetId="6">Model!$B$3:$M$59</definedName>
    <definedName name="_xlnm.Print_Area" localSheetId="1">Output!$B$2:$P$32</definedName>
    <definedName name="_xlnm.Print_Area" localSheetId="4">Schedules!$A$3:$M$141</definedName>
    <definedName name="_xlnm.Print_Area" localSheetId="5">WACC!$B$3:$L$55</definedName>
    <definedName name="_xlnm.Print_Titles" localSheetId="3">'Financial Statements'!$A:$B</definedName>
    <definedName name="_xlnm.Print_Titles" localSheetId="2">'Key Drivers'!$1:$6,'Key Drivers'!$A:$B</definedName>
    <definedName name="_xlnm.Print_Titles" localSheetId="4">Schedules!$A:$B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9" i="5" l="1"/>
  <c r="I39" i="5"/>
  <c r="D28" i="7"/>
  <c r="E28" i="7"/>
  <c r="F28" i="7"/>
  <c r="G28" i="7"/>
  <c r="H28" i="7"/>
  <c r="D29" i="7"/>
  <c r="E29" i="7"/>
  <c r="F29" i="7"/>
  <c r="G29" i="7"/>
  <c r="H29" i="7"/>
  <c r="D30" i="7"/>
  <c r="E30" i="7"/>
  <c r="F30" i="7"/>
  <c r="G30" i="7"/>
  <c r="H30" i="7"/>
  <c r="D31" i="7"/>
  <c r="E31" i="7"/>
  <c r="F31" i="7"/>
  <c r="G31" i="7"/>
  <c r="H31" i="7"/>
  <c r="D32" i="7"/>
  <c r="E32" i="7"/>
  <c r="F32" i="7"/>
  <c r="G32" i="7"/>
  <c r="H32" i="7"/>
  <c r="E10" i="7"/>
  <c r="E11" i="7"/>
  <c r="E12" i="7"/>
  <c r="B4" i="2"/>
  <c r="J25" i="2" s="1"/>
  <c r="K18" i="7"/>
  <c r="L17" i="7"/>
  <c r="C28" i="7"/>
  <c r="K28" i="7" s="1"/>
  <c r="D27" i="7"/>
  <c r="L27" i="7" s="1"/>
  <c r="C19" i="7"/>
  <c r="C20" i="7" s="1"/>
  <c r="E17" i="7"/>
  <c r="F17" i="7" s="1"/>
  <c r="E21" i="5"/>
  <c r="L11" i="7"/>
  <c r="M58" i="5" s="1"/>
  <c r="L10" i="7"/>
  <c r="E58" i="5" s="1"/>
  <c r="H47" i="5"/>
  <c r="I47" i="5" s="1"/>
  <c r="J47" i="5" s="1"/>
  <c r="K47" i="5" s="1"/>
  <c r="L47" i="5" s="1"/>
  <c r="M47" i="5" s="1"/>
  <c r="J39" i="5"/>
  <c r="K39" i="5"/>
  <c r="L39" i="5"/>
  <c r="M39" i="5"/>
  <c r="E53" i="4"/>
  <c r="E51" i="4"/>
  <c r="C44" i="4"/>
  <c r="F42" i="4"/>
  <c r="D42" i="4"/>
  <c r="E41" i="4" s="1"/>
  <c r="I21" i="4"/>
  <c r="K28" i="4"/>
  <c r="H28" i="4"/>
  <c r="K27" i="4"/>
  <c r="H27" i="4"/>
  <c r="J25" i="4"/>
  <c r="I25" i="4"/>
  <c r="L25" i="4" s="1"/>
  <c r="J24" i="4"/>
  <c r="I24" i="4"/>
  <c r="L24" i="4" s="1"/>
  <c r="J23" i="4"/>
  <c r="I23" i="4"/>
  <c r="L23" i="4" s="1"/>
  <c r="J22" i="4"/>
  <c r="I22" i="4"/>
  <c r="L22" i="4" s="1"/>
  <c r="J21" i="4"/>
  <c r="Q183" i="1"/>
  <c r="E7" i="4" s="1"/>
  <c r="Q175" i="1"/>
  <c r="Q118" i="1" s="1"/>
  <c r="R175" i="1"/>
  <c r="S175" i="1" s="1"/>
  <c r="G8" i="4" s="1"/>
  <c r="Q124" i="1"/>
  <c r="R124" i="1"/>
  <c r="S124" i="1"/>
  <c r="T124" i="1"/>
  <c r="U124" i="1"/>
  <c r="V124" i="1"/>
  <c r="Q122" i="1"/>
  <c r="R122" i="1" s="1"/>
  <c r="S122" i="1" s="1"/>
  <c r="T122" i="1" s="1"/>
  <c r="U122" i="1" s="1"/>
  <c r="V122" i="1" s="1"/>
  <c r="Q201" i="1"/>
  <c r="R201" i="1" s="1"/>
  <c r="S201" i="1" s="1"/>
  <c r="T201" i="1" s="1"/>
  <c r="U201" i="1" s="1"/>
  <c r="V201" i="1" s="1"/>
  <c r="G122" i="3"/>
  <c r="H122" i="3"/>
  <c r="I122" i="3"/>
  <c r="J122" i="3"/>
  <c r="K122" i="3"/>
  <c r="L122" i="3"/>
  <c r="M122" i="3"/>
  <c r="G103" i="3"/>
  <c r="G95" i="3"/>
  <c r="G96" i="3" s="1"/>
  <c r="G97" i="3" s="1"/>
  <c r="H94" i="3" s="1"/>
  <c r="G76" i="3"/>
  <c r="H76" i="3" s="1"/>
  <c r="G78" i="3"/>
  <c r="G75" i="3"/>
  <c r="G68" i="3"/>
  <c r="G69" i="3"/>
  <c r="H69" i="3" s="1"/>
  <c r="I69" i="3" s="1"/>
  <c r="J69" i="3" s="1"/>
  <c r="K69" i="3" s="1"/>
  <c r="L69" i="3" s="1"/>
  <c r="M69" i="3" s="1"/>
  <c r="G66" i="3"/>
  <c r="H66" i="3" s="1"/>
  <c r="G65" i="3"/>
  <c r="G47" i="3"/>
  <c r="G49" i="3" s="1"/>
  <c r="J55" i="3" s="1"/>
  <c r="H24" i="3"/>
  <c r="I25" i="3" s="1"/>
  <c r="J26" i="3" s="1"/>
  <c r="H25" i="3"/>
  <c r="I26" i="3" s="1"/>
  <c r="H26" i="3"/>
  <c r="H23" i="3"/>
  <c r="I24" i="3" s="1"/>
  <c r="I22" i="3"/>
  <c r="J23" i="3" s="1"/>
  <c r="K24" i="3" s="1"/>
  <c r="J22" i="3"/>
  <c r="K23" i="3" s="1"/>
  <c r="L24" i="3" s="1"/>
  <c r="K22" i="3"/>
  <c r="L23" i="3" s="1"/>
  <c r="L22" i="3"/>
  <c r="H17" i="3"/>
  <c r="H22" i="3" s="1"/>
  <c r="I23" i="3" s="1"/>
  <c r="J24" i="3" s="1"/>
  <c r="F11" i="3"/>
  <c r="F10" i="3" s="1"/>
  <c r="P114" i="1"/>
  <c r="P99" i="1"/>
  <c r="Q69" i="1"/>
  <c r="R69" i="1" s="1"/>
  <c r="S69" i="1" s="1"/>
  <c r="T69" i="1" s="1"/>
  <c r="U69" i="1" s="1"/>
  <c r="V69" i="1" s="1"/>
  <c r="V67" i="1" s="1"/>
  <c r="P43" i="1"/>
  <c r="P23" i="1"/>
  <c r="G79" i="3" s="1"/>
  <c r="H79" i="3" s="1"/>
  <c r="P11" i="1"/>
  <c r="P203" i="1"/>
  <c r="O203" i="1"/>
  <c r="N203" i="1"/>
  <c r="M203" i="1"/>
  <c r="L203" i="1"/>
  <c r="K203" i="1"/>
  <c r="J203" i="1"/>
  <c r="I203" i="1"/>
  <c r="H203" i="1"/>
  <c r="G203" i="1"/>
  <c r="P191" i="1"/>
  <c r="O191" i="1"/>
  <c r="N191" i="1"/>
  <c r="M191" i="1"/>
  <c r="L191" i="1"/>
  <c r="K191" i="1"/>
  <c r="J191" i="1"/>
  <c r="I191" i="1"/>
  <c r="H191" i="1"/>
  <c r="G191" i="1"/>
  <c r="P179" i="1"/>
  <c r="O179" i="1"/>
  <c r="N179" i="1"/>
  <c r="M179" i="1"/>
  <c r="L179" i="1"/>
  <c r="K179" i="1"/>
  <c r="J179" i="1"/>
  <c r="I179" i="1"/>
  <c r="H179" i="1"/>
  <c r="G179" i="1"/>
  <c r="P163" i="1"/>
  <c r="O163" i="1"/>
  <c r="N163" i="1"/>
  <c r="M163" i="1"/>
  <c r="L163" i="1"/>
  <c r="K163" i="1"/>
  <c r="J163" i="1"/>
  <c r="I163" i="1"/>
  <c r="H163" i="1"/>
  <c r="G163" i="1"/>
  <c r="P153" i="1"/>
  <c r="O153" i="1"/>
  <c r="N153" i="1"/>
  <c r="M153" i="1"/>
  <c r="L153" i="1"/>
  <c r="K153" i="1"/>
  <c r="J153" i="1"/>
  <c r="I153" i="1"/>
  <c r="H153" i="1"/>
  <c r="G153" i="1"/>
  <c r="P132" i="1"/>
  <c r="O132" i="1"/>
  <c r="N132" i="1"/>
  <c r="M132" i="1"/>
  <c r="L132" i="1"/>
  <c r="K132" i="1"/>
  <c r="J132" i="1"/>
  <c r="I132" i="1"/>
  <c r="H132" i="1"/>
  <c r="G132" i="1"/>
  <c r="O114" i="1"/>
  <c r="N114" i="1"/>
  <c r="M114" i="1"/>
  <c r="L114" i="1"/>
  <c r="K114" i="1"/>
  <c r="J114" i="1"/>
  <c r="I114" i="1"/>
  <c r="H114" i="1"/>
  <c r="G114" i="1"/>
  <c r="O99" i="1"/>
  <c r="N99" i="1"/>
  <c r="M99" i="1"/>
  <c r="L99" i="1"/>
  <c r="K99" i="1"/>
  <c r="J99" i="1"/>
  <c r="I99" i="1"/>
  <c r="H99" i="1"/>
  <c r="G99" i="1"/>
  <c r="P81" i="1"/>
  <c r="O81" i="1"/>
  <c r="N81" i="1"/>
  <c r="M81" i="1"/>
  <c r="L81" i="1"/>
  <c r="K81" i="1"/>
  <c r="J81" i="1"/>
  <c r="I81" i="1"/>
  <c r="H81" i="1"/>
  <c r="G81" i="1"/>
  <c r="N43" i="1"/>
  <c r="M43" i="1"/>
  <c r="L43" i="1"/>
  <c r="K43" i="1"/>
  <c r="J43" i="1"/>
  <c r="I43" i="1"/>
  <c r="H43" i="1"/>
  <c r="G43" i="1"/>
  <c r="O23" i="1"/>
  <c r="N23" i="1"/>
  <c r="M23" i="1"/>
  <c r="L23" i="1"/>
  <c r="K23" i="1"/>
  <c r="J23" i="1"/>
  <c r="I23" i="1"/>
  <c r="H23" i="1"/>
  <c r="G23" i="1"/>
  <c r="O11" i="1"/>
  <c r="O13" i="1" s="1"/>
  <c r="N11" i="1"/>
  <c r="M11" i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M21" i="7" l="1"/>
  <c r="M31" i="7" s="1"/>
  <c r="L21" i="7"/>
  <c r="L31" i="7" s="1"/>
  <c r="P20" i="7"/>
  <c r="P30" i="7" s="1"/>
  <c r="L18" i="7"/>
  <c r="L28" i="7" s="1"/>
  <c r="F11" i="7"/>
  <c r="Q41" i="1"/>
  <c r="C29" i="7"/>
  <c r="K29" i="7" s="1"/>
  <c r="M17" i="7"/>
  <c r="F10" i="7"/>
  <c r="F12" i="7"/>
  <c r="E27" i="7"/>
  <c r="M27" i="7" s="1"/>
  <c r="G13" i="2"/>
  <c r="K25" i="2"/>
  <c r="G7" i="2"/>
  <c r="Q7" i="1" s="1"/>
  <c r="H13" i="2"/>
  <c r="L25" i="2"/>
  <c r="I13" i="2"/>
  <c r="G31" i="2"/>
  <c r="J13" i="2"/>
  <c r="H31" i="2"/>
  <c r="K13" i="2"/>
  <c r="I31" i="2"/>
  <c r="L13" i="2"/>
  <c r="J31" i="2"/>
  <c r="G19" i="2"/>
  <c r="K31" i="2"/>
  <c r="H19" i="2"/>
  <c r="L31" i="2"/>
  <c r="M88" i="3" s="1"/>
  <c r="I19" i="2"/>
  <c r="G37" i="2"/>
  <c r="J19" i="2"/>
  <c r="H37" i="2"/>
  <c r="K19" i="2"/>
  <c r="I37" i="2"/>
  <c r="L7" i="2"/>
  <c r="L19" i="2"/>
  <c r="J37" i="2"/>
  <c r="K7" i="2"/>
  <c r="G25" i="2"/>
  <c r="K37" i="2"/>
  <c r="J7" i="2"/>
  <c r="H25" i="2"/>
  <c r="L37" i="2"/>
  <c r="I7" i="2"/>
  <c r="I25" i="2"/>
  <c r="H7" i="2"/>
  <c r="K20" i="7"/>
  <c r="C30" i="7"/>
  <c r="K30" i="7" s="1"/>
  <c r="C21" i="7"/>
  <c r="F27" i="7"/>
  <c r="N27" i="7" s="1"/>
  <c r="G17" i="7"/>
  <c r="N17" i="7"/>
  <c r="O20" i="7"/>
  <c r="O30" i="7" s="1"/>
  <c r="M20" i="7"/>
  <c r="M30" i="7" s="1"/>
  <c r="L20" i="7"/>
  <c r="L30" i="7" s="1"/>
  <c r="N19" i="7"/>
  <c r="N29" i="7" s="1"/>
  <c r="N22" i="7"/>
  <c r="N32" i="7" s="1"/>
  <c r="M19" i="7"/>
  <c r="M29" i="7" s="1"/>
  <c r="K19" i="7"/>
  <c r="M22" i="7"/>
  <c r="M32" i="7" s="1"/>
  <c r="L19" i="7"/>
  <c r="L29" i="7" s="1"/>
  <c r="L22" i="7"/>
  <c r="L32" i="7" s="1"/>
  <c r="P18" i="7"/>
  <c r="P28" i="7" s="1"/>
  <c r="N20" i="7"/>
  <c r="N30" i="7" s="1"/>
  <c r="P22" i="7"/>
  <c r="P32" i="7" s="1"/>
  <c r="O22" i="7"/>
  <c r="O32" i="7" s="1"/>
  <c r="O21" i="7"/>
  <c r="O31" i="7" s="1"/>
  <c r="N18" i="7"/>
  <c r="N28" i="7" s="1"/>
  <c r="P19" i="7"/>
  <c r="P29" i="7" s="1"/>
  <c r="O19" i="7"/>
  <c r="O29" i="7" s="1"/>
  <c r="P21" i="7"/>
  <c r="P31" i="7" s="1"/>
  <c r="O18" i="7"/>
  <c r="O28" i="7" s="1"/>
  <c r="N21" i="7"/>
  <c r="N31" i="7" s="1"/>
  <c r="M18" i="7"/>
  <c r="M28" i="7" s="1"/>
  <c r="E8" i="4"/>
  <c r="E9" i="4" s="1"/>
  <c r="F8" i="4"/>
  <c r="M165" i="1"/>
  <c r="R183" i="1"/>
  <c r="J27" i="4"/>
  <c r="E40" i="4"/>
  <c r="E42" i="4" s="1"/>
  <c r="I28" i="4"/>
  <c r="J28" i="4"/>
  <c r="I27" i="4"/>
  <c r="L21" i="4"/>
  <c r="L165" i="1"/>
  <c r="G193" i="1"/>
  <c r="G205" i="1" s="1"/>
  <c r="H193" i="1"/>
  <c r="H205" i="1" s="1"/>
  <c r="G165" i="1"/>
  <c r="Q67" i="1"/>
  <c r="S118" i="1"/>
  <c r="R118" i="1"/>
  <c r="G71" i="3"/>
  <c r="O165" i="1"/>
  <c r="U67" i="1"/>
  <c r="S67" i="1"/>
  <c r="Q120" i="1"/>
  <c r="I193" i="1"/>
  <c r="I205" i="1" s="1"/>
  <c r="J193" i="1"/>
  <c r="J205" i="1" s="1"/>
  <c r="T67" i="1"/>
  <c r="R67" i="1"/>
  <c r="T175" i="1"/>
  <c r="G104" i="3"/>
  <c r="G81" i="3"/>
  <c r="I66" i="3"/>
  <c r="I76" i="3"/>
  <c r="I79" i="3"/>
  <c r="K40" i="3"/>
  <c r="I55" i="3"/>
  <c r="H40" i="3"/>
  <c r="K55" i="3"/>
  <c r="H55" i="3"/>
  <c r="L55" i="3"/>
  <c r="L40" i="3"/>
  <c r="J40" i="3"/>
  <c r="I40" i="3"/>
  <c r="J25" i="3"/>
  <c r="K26" i="3" s="1"/>
  <c r="L25" i="3"/>
  <c r="K25" i="3"/>
  <c r="L26" i="3" s="1"/>
  <c r="P13" i="1"/>
  <c r="P27" i="1"/>
  <c r="O43" i="1"/>
  <c r="I27" i="1"/>
  <c r="I33" i="1" s="1"/>
  <c r="I45" i="1" s="1"/>
  <c r="M27" i="1"/>
  <c r="M33" i="1" s="1"/>
  <c r="M35" i="1" s="1"/>
  <c r="N27" i="1"/>
  <c r="N33" i="1" s="1"/>
  <c r="N45" i="1" s="1"/>
  <c r="J27" i="1"/>
  <c r="J29" i="1" s="1"/>
  <c r="K193" i="1"/>
  <c r="K205" i="1" s="1"/>
  <c r="M13" i="1"/>
  <c r="N13" i="1"/>
  <c r="O27" i="1"/>
  <c r="O33" i="1" s="1"/>
  <c r="P165" i="1"/>
  <c r="K27" i="1"/>
  <c r="K33" i="1" s="1"/>
  <c r="K45" i="1" s="1"/>
  <c r="L27" i="1"/>
  <c r="L33" i="1" s="1"/>
  <c r="L45" i="1" s="1"/>
  <c r="I165" i="1"/>
  <c r="M193" i="1"/>
  <c r="M205" i="1" s="1"/>
  <c r="O193" i="1"/>
  <c r="O205" i="1" s="1"/>
  <c r="P193" i="1"/>
  <c r="P205" i="1" s="1"/>
  <c r="H165" i="1"/>
  <c r="N165" i="1"/>
  <c r="J165" i="1"/>
  <c r="L193" i="1"/>
  <c r="L205" i="1" s="1"/>
  <c r="N193" i="1"/>
  <c r="N205" i="1" s="1"/>
  <c r="G27" i="1"/>
  <c r="G29" i="1" s="1"/>
  <c r="H27" i="1"/>
  <c r="H33" i="1" s="1"/>
  <c r="H45" i="1" s="1"/>
  <c r="K165" i="1"/>
  <c r="H8" i="4" l="1"/>
  <c r="R120" i="1"/>
  <c r="R132" i="1" s="1"/>
  <c r="R41" i="1"/>
  <c r="Q185" i="1"/>
  <c r="Q17" i="1"/>
  <c r="Q21" i="1"/>
  <c r="R7" i="1"/>
  <c r="Q173" i="1"/>
  <c r="Q9" i="1"/>
  <c r="Q11" i="1" s="1"/>
  <c r="Q13" i="1" s="1"/>
  <c r="H65" i="3"/>
  <c r="Q147" i="1" s="1"/>
  <c r="Q89" i="1" s="1"/>
  <c r="Q105" i="1"/>
  <c r="H17" i="7"/>
  <c r="O17" i="7"/>
  <c r="G27" i="7"/>
  <c r="O27" i="7" s="1"/>
  <c r="C22" i="7"/>
  <c r="K21" i="7"/>
  <c r="C31" i="7"/>
  <c r="K31" i="7" s="1"/>
  <c r="J33" i="1"/>
  <c r="J35" i="1" s="1"/>
  <c r="F11" i="4"/>
  <c r="E11" i="4"/>
  <c r="H207" i="1"/>
  <c r="G207" i="1"/>
  <c r="P207" i="1"/>
  <c r="I29" i="1"/>
  <c r="L207" i="1"/>
  <c r="S183" i="1"/>
  <c r="S41" i="1" s="1"/>
  <c r="F7" i="4"/>
  <c r="F9" i="4" s="1"/>
  <c r="M207" i="1"/>
  <c r="L28" i="4"/>
  <c r="L27" i="4"/>
  <c r="E33" i="4" s="1"/>
  <c r="E34" i="4" s="1"/>
  <c r="E35" i="4" s="1"/>
  <c r="L33" i="4" s="1"/>
  <c r="L35" i="4" s="1"/>
  <c r="F53" i="4" s="1"/>
  <c r="O207" i="1"/>
  <c r="K35" i="1"/>
  <c r="I207" i="1"/>
  <c r="G83" i="3"/>
  <c r="L29" i="1"/>
  <c r="J207" i="1"/>
  <c r="T118" i="1"/>
  <c r="M45" i="1"/>
  <c r="M47" i="1" s="1"/>
  <c r="N35" i="1"/>
  <c r="N29" i="1"/>
  <c r="I35" i="1"/>
  <c r="K207" i="1"/>
  <c r="U175" i="1"/>
  <c r="J66" i="3"/>
  <c r="J76" i="3"/>
  <c r="J79" i="3"/>
  <c r="P33" i="1"/>
  <c r="P29" i="1"/>
  <c r="H29" i="1"/>
  <c r="G33" i="1"/>
  <c r="G45" i="1" s="1"/>
  <c r="M29" i="1"/>
  <c r="O29" i="1"/>
  <c r="L35" i="1"/>
  <c r="K29" i="1"/>
  <c r="H35" i="1"/>
  <c r="N207" i="1"/>
  <c r="I51" i="1"/>
  <c r="I47" i="1"/>
  <c r="L51" i="1"/>
  <c r="L47" i="1"/>
  <c r="N47" i="1"/>
  <c r="N51" i="1"/>
  <c r="O35" i="1"/>
  <c r="O45" i="1"/>
  <c r="H51" i="1"/>
  <c r="H47" i="1"/>
  <c r="K47" i="1"/>
  <c r="K51" i="1"/>
  <c r="R105" i="1" l="1"/>
  <c r="I12" i="5" s="1"/>
  <c r="J45" i="1"/>
  <c r="J51" i="1" s="1"/>
  <c r="I8" i="4"/>
  <c r="H12" i="5"/>
  <c r="Q23" i="1"/>
  <c r="H78" i="3" s="1"/>
  <c r="Q171" i="1" s="1"/>
  <c r="Q95" i="1" s="1"/>
  <c r="H68" i="3"/>
  <c r="H71" i="3" s="1"/>
  <c r="I65" i="3"/>
  <c r="R147" i="1" s="1"/>
  <c r="R89" i="1" s="1"/>
  <c r="R9" i="1"/>
  <c r="R11" i="1" s="1"/>
  <c r="R13" i="1" s="1"/>
  <c r="R21" i="1"/>
  <c r="R17" i="1"/>
  <c r="S7" i="1"/>
  <c r="R173" i="1"/>
  <c r="R185" i="1"/>
  <c r="H75" i="3"/>
  <c r="Q169" i="1" s="1"/>
  <c r="Q93" i="1" s="1"/>
  <c r="C32" i="7"/>
  <c r="K32" i="7" s="1"/>
  <c r="K22" i="7"/>
  <c r="H27" i="7"/>
  <c r="P27" i="7" s="1"/>
  <c r="P17" i="7"/>
  <c r="U118" i="1"/>
  <c r="G7" i="4"/>
  <c r="G9" i="4" s="1"/>
  <c r="T183" i="1"/>
  <c r="T41" i="1" s="1"/>
  <c r="S120" i="1"/>
  <c r="S132" i="1" s="1"/>
  <c r="M51" i="1"/>
  <c r="M79" i="1" s="1"/>
  <c r="M101" i="1" s="1"/>
  <c r="M136" i="1" s="1"/>
  <c r="G35" i="1"/>
  <c r="V175" i="1"/>
  <c r="K66" i="3"/>
  <c r="K76" i="3"/>
  <c r="K79" i="3"/>
  <c r="P35" i="1"/>
  <c r="P45" i="1"/>
  <c r="O51" i="1"/>
  <c r="O47" i="1"/>
  <c r="L79" i="1"/>
  <c r="L101" i="1" s="1"/>
  <c r="L136" i="1" s="1"/>
  <c r="L57" i="1"/>
  <c r="N57" i="1"/>
  <c r="N79" i="1"/>
  <c r="N101" i="1" s="1"/>
  <c r="N136" i="1" s="1"/>
  <c r="G51" i="1"/>
  <c r="G47" i="1"/>
  <c r="K57" i="1"/>
  <c r="K79" i="1"/>
  <c r="K101" i="1" s="1"/>
  <c r="K136" i="1" s="1"/>
  <c r="H57" i="1"/>
  <c r="H79" i="1"/>
  <c r="H101" i="1" s="1"/>
  <c r="H136" i="1" s="1"/>
  <c r="I79" i="1"/>
  <c r="I101" i="1" s="1"/>
  <c r="I136" i="1" s="1"/>
  <c r="I57" i="1"/>
  <c r="S105" i="1" l="1"/>
  <c r="J12" i="5" s="1"/>
  <c r="J47" i="1"/>
  <c r="V118" i="1"/>
  <c r="S9" i="1"/>
  <c r="J75" i="3" s="1"/>
  <c r="S169" i="1" s="1"/>
  <c r="S21" i="1"/>
  <c r="S17" i="1"/>
  <c r="T7" i="1"/>
  <c r="S173" i="1"/>
  <c r="S185" i="1"/>
  <c r="R23" i="1"/>
  <c r="I78" i="3" s="1"/>
  <c r="R171" i="1" s="1"/>
  <c r="R95" i="1" s="1"/>
  <c r="H81" i="3"/>
  <c r="H83" i="3" s="1"/>
  <c r="J65" i="3"/>
  <c r="S147" i="1" s="1"/>
  <c r="I75" i="3"/>
  <c r="R169" i="1" s="1"/>
  <c r="R93" i="1" s="1"/>
  <c r="I68" i="3"/>
  <c r="I71" i="3" s="1"/>
  <c r="Q149" i="1"/>
  <c r="Q91" i="1" s="1"/>
  <c r="Q179" i="1"/>
  <c r="G11" i="4"/>
  <c r="M57" i="1"/>
  <c r="H7" i="4"/>
  <c r="H9" i="4" s="1"/>
  <c r="U183" i="1"/>
  <c r="U41" i="1" s="1"/>
  <c r="T120" i="1"/>
  <c r="T132" i="1" s="1"/>
  <c r="U120" i="1"/>
  <c r="U132" i="1" s="1"/>
  <c r="H95" i="3"/>
  <c r="P47" i="1"/>
  <c r="G102" i="3"/>
  <c r="L66" i="3"/>
  <c r="L76" i="3"/>
  <c r="L79" i="3"/>
  <c r="P51" i="1"/>
  <c r="P57" i="1" s="1"/>
  <c r="J57" i="1"/>
  <c r="J79" i="1"/>
  <c r="J101" i="1" s="1"/>
  <c r="J136" i="1" s="1"/>
  <c r="O79" i="1"/>
  <c r="O101" i="1" s="1"/>
  <c r="O136" i="1" s="1"/>
  <c r="O57" i="1"/>
  <c r="G57" i="1"/>
  <c r="G79" i="1"/>
  <c r="G101" i="1" s="1"/>
  <c r="G136" i="1" s="1"/>
  <c r="T105" i="1" l="1"/>
  <c r="K12" i="5" s="1"/>
  <c r="T9" i="1"/>
  <c r="K68" i="3" s="1"/>
  <c r="T149" i="1" s="1"/>
  <c r="T21" i="1"/>
  <c r="T17" i="1"/>
  <c r="U7" i="1"/>
  <c r="K65" i="3"/>
  <c r="T147" i="1" s="1"/>
  <c r="S23" i="1"/>
  <c r="J78" i="3" s="1"/>
  <c r="J68" i="3"/>
  <c r="S149" i="1" s="1"/>
  <c r="S11" i="1"/>
  <c r="S13" i="1" s="1"/>
  <c r="T185" i="1"/>
  <c r="T173" i="1"/>
  <c r="R149" i="1"/>
  <c r="R91" i="1" s="1"/>
  <c r="H11" i="4"/>
  <c r="I7" i="4"/>
  <c r="I9" i="4" s="1"/>
  <c r="V183" i="1"/>
  <c r="V41" i="1" s="1"/>
  <c r="R179" i="1"/>
  <c r="H96" i="3"/>
  <c r="H104" i="3" s="1"/>
  <c r="J95" i="3"/>
  <c r="I95" i="3"/>
  <c r="I81" i="3"/>
  <c r="I83" i="3" s="1"/>
  <c r="S93" i="1"/>
  <c r="S89" i="1"/>
  <c r="G129" i="3"/>
  <c r="G105" i="3"/>
  <c r="G111" i="3" s="1"/>
  <c r="G113" i="3" s="1"/>
  <c r="G127" i="3" s="1"/>
  <c r="M66" i="3"/>
  <c r="M76" i="3"/>
  <c r="M79" i="3"/>
  <c r="P79" i="1"/>
  <c r="U105" i="1" l="1"/>
  <c r="L12" i="5" s="1"/>
  <c r="T23" i="1"/>
  <c r="K78" i="3" s="1"/>
  <c r="T11" i="1"/>
  <c r="T13" i="1" s="1"/>
  <c r="U21" i="1"/>
  <c r="U185" i="1"/>
  <c r="K75" i="3"/>
  <c r="T169" i="1" s="1"/>
  <c r="T93" i="1" s="1"/>
  <c r="U9" i="1"/>
  <c r="L75" i="3" s="1"/>
  <c r="U169" i="1" s="1"/>
  <c r="U173" i="1"/>
  <c r="U17" i="1"/>
  <c r="V7" i="1"/>
  <c r="Q85" i="1" s="1" a="1"/>
  <c r="Q85" i="1" s="1"/>
  <c r="L65" i="3"/>
  <c r="U147" i="1" s="1"/>
  <c r="J71" i="3"/>
  <c r="T91" i="1"/>
  <c r="S91" i="1"/>
  <c r="H97" i="3"/>
  <c r="I94" i="3" s="1"/>
  <c r="I96" i="3" s="1"/>
  <c r="I104" i="3" s="1"/>
  <c r="I11" i="4"/>
  <c r="E13" i="4" s="1"/>
  <c r="V120" i="1"/>
  <c r="V132" i="1" s="1"/>
  <c r="K71" i="3"/>
  <c r="S171" i="1"/>
  <c r="J81" i="3"/>
  <c r="K95" i="3"/>
  <c r="G128" i="3"/>
  <c r="T89" i="1"/>
  <c r="P101" i="1"/>
  <c r="P136" i="1" s="1"/>
  <c r="V105" i="1" l="1"/>
  <c r="M12" i="5" s="1"/>
  <c r="E31" i="3" a="1"/>
  <c r="E31" i="3" s="1"/>
  <c r="F31" i="3" s="1"/>
  <c r="J31" i="3" s="1"/>
  <c r="Q151" i="1" a="1"/>
  <c r="T97" i="1" s="1"/>
  <c r="Q161" i="1" a="1"/>
  <c r="E15" i="4"/>
  <c r="F51" i="4" s="1"/>
  <c r="F55" i="4" s="1"/>
  <c r="L9" i="7" s="1"/>
  <c r="E22" i="5" s="1"/>
  <c r="U11" i="1"/>
  <c r="U13" i="1" s="1"/>
  <c r="U23" i="1"/>
  <c r="V21" i="1"/>
  <c r="V17" i="1"/>
  <c r="V9" i="1"/>
  <c r="M68" i="3" s="1"/>
  <c r="V149" i="1" s="1"/>
  <c r="V173" i="1"/>
  <c r="V185" i="1"/>
  <c r="M65" i="3"/>
  <c r="V147" i="1" s="1"/>
  <c r="V89" i="1" s="1"/>
  <c r="L68" i="3"/>
  <c r="U149" i="1" s="1"/>
  <c r="U91" i="1" s="1"/>
  <c r="J83" i="3"/>
  <c r="I97" i="3"/>
  <c r="J94" i="3" s="1"/>
  <c r="J96" i="3" s="1"/>
  <c r="J104" i="3" s="1"/>
  <c r="S95" i="1"/>
  <c r="S179" i="1"/>
  <c r="L95" i="3"/>
  <c r="T171" i="1"/>
  <c r="K81" i="3"/>
  <c r="K83" i="3" s="1"/>
  <c r="U89" i="1"/>
  <c r="U93" i="1"/>
  <c r="I10" i="5" l="1"/>
  <c r="J10" i="5"/>
  <c r="K10" i="5"/>
  <c r="L10" i="5"/>
  <c r="M10" i="5"/>
  <c r="K31" i="3"/>
  <c r="H31" i="3"/>
  <c r="F33" i="3"/>
  <c r="J33" i="3" s="1"/>
  <c r="L31" i="3"/>
  <c r="F34" i="3"/>
  <c r="L34" i="3" s="1"/>
  <c r="I31" i="3"/>
  <c r="F35" i="3"/>
  <c r="F32" i="3"/>
  <c r="L32" i="3" s="1"/>
  <c r="S97" i="1"/>
  <c r="S99" i="1" s="1"/>
  <c r="J11" i="5" s="1"/>
  <c r="U97" i="1"/>
  <c r="Q151" i="1"/>
  <c r="Q97" i="1" s="1"/>
  <c r="Q99" i="1" s="1"/>
  <c r="H11" i="5" s="1"/>
  <c r="Q161" i="1"/>
  <c r="S112" i="1"/>
  <c r="T112" i="1"/>
  <c r="V112" i="1"/>
  <c r="U112" i="1"/>
  <c r="V23" i="1"/>
  <c r="M78" i="3" s="1"/>
  <c r="L78" i="3"/>
  <c r="L81" i="3" s="1"/>
  <c r="V97" i="1"/>
  <c r="L71" i="3"/>
  <c r="V91" i="1"/>
  <c r="V11" i="1"/>
  <c r="V13" i="1" s="1"/>
  <c r="M75" i="3"/>
  <c r="V169" i="1" s="1"/>
  <c r="V93" i="1" s="1"/>
  <c r="M71" i="3"/>
  <c r="J97" i="3"/>
  <c r="K94" i="3" s="1"/>
  <c r="K96" i="3" s="1"/>
  <c r="K104" i="3" s="1"/>
  <c r="H10" i="5"/>
  <c r="T95" i="1"/>
  <c r="T99" i="1" s="1"/>
  <c r="K11" i="5" s="1"/>
  <c r="T179" i="1"/>
  <c r="M95" i="3"/>
  <c r="I34" i="3" l="1"/>
  <c r="H32" i="3"/>
  <c r="I32" i="3"/>
  <c r="K32" i="3"/>
  <c r="J32" i="3"/>
  <c r="J35" i="3"/>
  <c r="I35" i="3"/>
  <c r="H35" i="3"/>
  <c r="K35" i="3"/>
  <c r="L35" i="3"/>
  <c r="J34" i="3"/>
  <c r="J41" i="3" s="1"/>
  <c r="J42" i="3" s="1"/>
  <c r="J54" i="3" s="1"/>
  <c r="J56" i="3" s="1"/>
  <c r="J103" i="3" s="1"/>
  <c r="K34" i="3"/>
  <c r="H33" i="3"/>
  <c r="L33" i="3"/>
  <c r="I33" i="3"/>
  <c r="K33" i="3"/>
  <c r="H34" i="3"/>
  <c r="R97" i="1"/>
  <c r="R99" i="1" s="1"/>
  <c r="I11" i="5" s="1"/>
  <c r="Q112" i="1"/>
  <c r="R112" i="1"/>
  <c r="U171" i="1"/>
  <c r="U95" i="1" s="1"/>
  <c r="U99" i="1" s="1"/>
  <c r="L11" i="5" s="1"/>
  <c r="L83" i="3"/>
  <c r="K97" i="3"/>
  <c r="L94" i="3" s="1"/>
  <c r="L96" i="3" s="1"/>
  <c r="L104" i="3" s="1"/>
  <c r="V171" i="1"/>
  <c r="M81" i="3"/>
  <c r="M83" i="3" s="1"/>
  <c r="L41" i="3" l="1"/>
  <c r="L42" i="3" s="1"/>
  <c r="L54" i="3" s="1"/>
  <c r="L56" i="3" s="1"/>
  <c r="L8" i="5" s="1"/>
  <c r="M8" i="5" s="1"/>
  <c r="H41" i="3"/>
  <c r="H42" i="3" s="1"/>
  <c r="H54" i="3" s="1"/>
  <c r="H56" i="3" s="1"/>
  <c r="H103" i="3" s="1"/>
  <c r="I41" i="3"/>
  <c r="I42" i="3" s="1"/>
  <c r="I54" i="3" s="1"/>
  <c r="I56" i="3" s="1"/>
  <c r="I8" i="5" s="1"/>
  <c r="U31" i="1"/>
  <c r="U27" i="1" s="1"/>
  <c r="U33" i="1" s="1"/>
  <c r="U35" i="1" s="1"/>
  <c r="S31" i="1"/>
  <c r="S81" i="1" s="1"/>
  <c r="L103" i="3"/>
  <c r="M103" i="3" s="1"/>
  <c r="K41" i="3"/>
  <c r="K42" i="3" s="1"/>
  <c r="K54" i="3" s="1"/>
  <c r="K56" i="3" s="1"/>
  <c r="J8" i="5"/>
  <c r="S27" i="1"/>
  <c r="S33" i="1" s="1"/>
  <c r="S35" i="1" s="1"/>
  <c r="U179" i="1"/>
  <c r="L97" i="3"/>
  <c r="M94" i="3" s="1"/>
  <c r="M96" i="3" s="1"/>
  <c r="M104" i="3" s="1"/>
  <c r="V95" i="1"/>
  <c r="V99" i="1" s="1"/>
  <c r="M11" i="5" s="1"/>
  <c r="V179" i="1"/>
  <c r="Q114" i="1"/>
  <c r="R114" i="1"/>
  <c r="S114" i="1"/>
  <c r="T114" i="1"/>
  <c r="U114" i="1"/>
  <c r="V114" i="1"/>
  <c r="U81" i="1" l="1"/>
  <c r="U29" i="1"/>
  <c r="Q157" i="1"/>
  <c r="Q163" i="1" s="1"/>
  <c r="Q31" i="1"/>
  <c r="Q81" i="1" s="1"/>
  <c r="H8" i="5"/>
  <c r="R31" i="1"/>
  <c r="I103" i="3"/>
  <c r="V31" i="1"/>
  <c r="V81" i="1" s="1"/>
  <c r="Q27" i="1"/>
  <c r="Q29" i="1" s="1"/>
  <c r="T31" i="1"/>
  <c r="K103" i="3"/>
  <c r="K8" i="5"/>
  <c r="S29" i="1"/>
  <c r="M97" i="3"/>
  <c r="Q33" i="1" l="1"/>
  <c r="Q35" i="1" s="1"/>
  <c r="R157" i="1"/>
  <c r="S157" i="1" s="1"/>
  <c r="S163" i="1" s="1"/>
  <c r="V27" i="1"/>
  <c r="V33" i="1" s="1"/>
  <c r="V35" i="1" s="1"/>
  <c r="T157" i="1"/>
  <c r="T163" i="1" s="1"/>
  <c r="R163" i="1"/>
  <c r="R81" i="1"/>
  <c r="R27" i="1"/>
  <c r="T27" i="1"/>
  <c r="T81" i="1"/>
  <c r="V29" i="1" l="1"/>
  <c r="M29" i="5"/>
  <c r="M34" i="5" s="1"/>
  <c r="M42" i="5" s="1"/>
  <c r="M50" i="5" s="1"/>
  <c r="U157" i="1"/>
  <c r="V157" i="1" s="1"/>
  <c r="V163" i="1" s="1"/>
  <c r="R29" i="1"/>
  <c r="R33" i="1"/>
  <c r="R35" i="1" s="1"/>
  <c r="T29" i="1"/>
  <c r="T33" i="1"/>
  <c r="T35" i="1" s="1"/>
  <c r="U163" i="1" l="1"/>
  <c r="Q132" i="1"/>
  <c r="Q197" i="1"/>
  <c r="R197" i="1" l="1"/>
  <c r="S197" i="1" l="1"/>
  <c r="T197" i="1" l="1"/>
  <c r="U197" i="1" l="1"/>
  <c r="V197" i="1" l="1"/>
  <c r="Q39" i="1"/>
  <c r="R39" i="1"/>
  <c r="S39" i="1"/>
  <c r="T39" i="1"/>
  <c r="U39" i="1"/>
  <c r="V39" i="1"/>
  <c r="Q43" i="1"/>
  <c r="R43" i="1"/>
  <c r="S43" i="1"/>
  <c r="T43" i="1"/>
  <c r="U43" i="1"/>
  <c r="V43" i="1"/>
  <c r="Q45" i="1"/>
  <c r="R45" i="1"/>
  <c r="S45" i="1"/>
  <c r="T45" i="1"/>
  <c r="U45" i="1"/>
  <c r="V45" i="1"/>
  <c r="Q47" i="1"/>
  <c r="R47" i="1"/>
  <c r="S47" i="1"/>
  <c r="T47" i="1"/>
  <c r="U47" i="1"/>
  <c r="V47" i="1"/>
  <c r="Q49" i="1"/>
  <c r="R49" i="1"/>
  <c r="S49" i="1"/>
  <c r="T49" i="1"/>
  <c r="U49" i="1"/>
  <c r="V49" i="1"/>
  <c r="Q51" i="1"/>
  <c r="R51" i="1"/>
  <c r="S51" i="1"/>
  <c r="T51" i="1"/>
  <c r="U51" i="1"/>
  <c r="V51" i="1"/>
  <c r="Q57" i="1"/>
  <c r="R57" i="1"/>
  <c r="S57" i="1"/>
  <c r="T57" i="1"/>
  <c r="U57" i="1"/>
  <c r="V57" i="1"/>
  <c r="Q61" i="1"/>
  <c r="R61" i="1"/>
  <c r="S61" i="1"/>
  <c r="T61" i="1"/>
  <c r="U61" i="1"/>
  <c r="V61" i="1"/>
  <c r="Q63" i="1"/>
  <c r="R63" i="1"/>
  <c r="S63" i="1"/>
  <c r="T63" i="1"/>
  <c r="U63" i="1"/>
  <c r="V63" i="1"/>
  <c r="Q79" i="1"/>
  <c r="R79" i="1"/>
  <c r="S79" i="1"/>
  <c r="T79" i="1"/>
  <c r="U79" i="1"/>
  <c r="V79" i="1"/>
  <c r="Q83" i="1"/>
  <c r="R83" i="1"/>
  <c r="S83" i="1"/>
  <c r="T83" i="1"/>
  <c r="U83" i="1"/>
  <c r="V83" i="1"/>
  <c r="Q101" i="1"/>
  <c r="R101" i="1"/>
  <c r="S101" i="1"/>
  <c r="T101" i="1"/>
  <c r="U101" i="1"/>
  <c r="V101" i="1"/>
  <c r="Q136" i="1"/>
  <c r="R136" i="1"/>
  <c r="S136" i="1"/>
  <c r="T136" i="1"/>
  <c r="U136" i="1"/>
  <c r="V136" i="1"/>
  <c r="Q145" i="1"/>
  <c r="R145" i="1"/>
  <c r="S145" i="1"/>
  <c r="T145" i="1"/>
  <c r="U145" i="1"/>
  <c r="V145" i="1"/>
  <c r="Q153" i="1"/>
  <c r="R153" i="1"/>
  <c r="S153" i="1"/>
  <c r="T153" i="1"/>
  <c r="U153" i="1"/>
  <c r="V153" i="1"/>
  <c r="Q165" i="1"/>
  <c r="R165" i="1"/>
  <c r="S165" i="1"/>
  <c r="T165" i="1"/>
  <c r="U165" i="1"/>
  <c r="V165" i="1"/>
  <c r="Q187" i="1"/>
  <c r="R187" i="1"/>
  <c r="S187" i="1"/>
  <c r="T187" i="1"/>
  <c r="U187" i="1"/>
  <c r="V187" i="1"/>
  <c r="Q191" i="1"/>
  <c r="R191" i="1"/>
  <c r="S191" i="1"/>
  <c r="T191" i="1"/>
  <c r="U191" i="1"/>
  <c r="V191" i="1"/>
  <c r="Q193" i="1"/>
  <c r="R193" i="1"/>
  <c r="S193" i="1"/>
  <c r="T193" i="1"/>
  <c r="U193" i="1"/>
  <c r="V193" i="1"/>
  <c r="Q199" i="1"/>
  <c r="R199" i="1"/>
  <c r="S199" i="1"/>
  <c r="T199" i="1"/>
  <c r="U199" i="1"/>
  <c r="V199" i="1"/>
  <c r="Q203" i="1"/>
  <c r="R203" i="1"/>
  <c r="S203" i="1"/>
  <c r="T203" i="1"/>
  <c r="U203" i="1"/>
  <c r="V203" i="1"/>
  <c r="Q205" i="1"/>
  <c r="R205" i="1"/>
  <c r="S205" i="1"/>
  <c r="T205" i="1"/>
  <c r="U205" i="1"/>
  <c r="V205" i="1"/>
  <c r="Q207" i="1"/>
  <c r="R207" i="1"/>
  <c r="S207" i="1"/>
  <c r="T207" i="1"/>
  <c r="U207" i="1"/>
  <c r="V207" i="1"/>
  <c r="H7" i="5"/>
  <c r="I7" i="5"/>
  <c r="J7" i="5"/>
  <c r="K7" i="5"/>
  <c r="L7" i="5"/>
  <c r="M7" i="5"/>
  <c r="H9" i="5"/>
  <c r="I9" i="5"/>
  <c r="J9" i="5"/>
  <c r="K9" i="5"/>
  <c r="L9" i="5"/>
  <c r="M9" i="5"/>
  <c r="H13" i="5"/>
  <c r="I13" i="5"/>
  <c r="J13" i="5"/>
  <c r="K13" i="5"/>
  <c r="L13" i="5"/>
  <c r="M13" i="5"/>
  <c r="H15" i="5"/>
  <c r="I15" i="5"/>
  <c r="J15" i="5"/>
  <c r="K15" i="5"/>
  <c r="L15" i="5"/>
  <c r="M15" i="5"/>
  <c r="H28" i="5"/>
  <c r="I28" i="5"/>
  <c r="J28" i="5"/>
  <c r="K28" i="5"/>
  <c r="L28" i="5"/>
  <c r="M28" i="5"/>
  <c r="H33" i="5"/>
  <c r="I33" i="5"/>
  <c r="J33" i="5"/>
  <c r="K33" i="5"/>
  <c r="L33" i="5"/>
  <c r="M33" i="5"/>
  <c r="H35" i="5"/>
  <c r="I35" i="5"/>
  <c r="J35" i="5"/>
  <c r="K35" i="5"/>
  <c r="L35" i="5"/>
  <c r="M35" i="5"/>
  <c r="H41" i="5"/>
  <c r="I41" i="5"/>
  <c r="J41" i="5"/>
  <c r="K41" i="5"/>
  <c r="L41" i="5"/>
  <c r="M41" i="5"/>
  <c r="H43" i="5"/>
  <c r="I43" i="5"/>
  <c r="J43" i="5"/>
  <c r="K43" i="5"/>
  <c r="L43" i="5"/>
  <c r="M43" i="5"/>
  <c r="H49" i="5"/>
  <c r="I49" i="5"/>
  <c r="J49" i="5"/>
  <c r="K49" i="5"/>
  <c r="L49" i="5"/>
  <c r="M49" i="5"/>
  <c r="H51" i="5"/>
  <c r="I51" i="5"/>
  <c r="J51" i="5"/>
  <c r="K51" i="5"/>
  <c r="L51" i="5"/>
  <c r="M51" i="5"/>
  <c r="E53" i="5"/>
  <c r="E57" i="5"/>
  <c r="M57" i="5"/>
  <c r="E59" i="5"/>
  <c r="M59" i="5"/>
  <c r="D9" i="7"/>
  <c r="C17" i="7"/>
  <c r="H102" i="3"/>
  <c r="I102" i="3"/>
  <c r="J102" i="3"/>
  <c r="K102" i="3"/>
  <c r="L102" i="3"/>
  <c r="M102" i="3"/>
  <c r="H105" i="3"/>
  <c r="I105" i="3"/>
  <c r="J105" i="3"/>
  <c r="K105" i="3"/>
  <c r="L105" i="3"/>
  <c r="M105" i="3"/>
  <c r="H111" i="3"/>
  <c r="I111" i="3"/>
  <c r="J111" i="3"/>
  <c r="K111" i="3"/>
  <c r="L111" i="3"/>
  <c r="M111" i="3"/>
  <c r="H113" i="3"/>
  <c r="I113" i="3"/>
  <c r="J113" i="3"/>
  <c r="K113" i="3"/>
  <c r="L113" i="3"/>
  <c r="M113" i="3"/>
  <c r="H127" i="3"/>
  <c r="I127" i="3"/>
  <c r="J127" i="3"/>
  <c r="K127" i="3"/>
  <c r="L127" i="3"/>
  <c r="M127" i="3"/>
  <c r="H128" i="3"/>
  <c r="I128" i="3"/>
  <c r="J128" i="3"/>
  <c r="K128" i="3"/>
  <c r="L128" i="3"/>
  <c r="M128" i="3"/>
  <c r="H129" i="3"/>
  <c r="I129" i="3"/>
  <c r="J129" i="3"/>
  <c r="K129" i="3"/>
  <c r="L129" i="3"/>
  <c r="M1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Devansh Wadhwani</author>
  </authors>
  <commentList>
    <comment ref="C17" authorId="0" shapeId="0" xr:uid="{00000000-0006-0000-0000-00001B000000}">
      <text>
        <r>
          <rPr>
            <sz val="10"/>
            <rFont val="Arial"/>
            <family val="2"/>
          </rPr>
          <t>Apple reports a single "Selling, general and administrative" line; advertising/marketing is not separately disclosed, so it stays here in full. (Apple split SG&amp;A into "Selling and marketing" and "General and administrative" only in the FY2025 10-K — S&amp;M: FY2023 $18,260M, FY2024 $18,639M, FY2025 $19,524M.)</t>
        </r>
      </text>
    </comment>
    <comment ref="C19" authorId="0" shapeId="0" xr:uid="{00000000-0006-0000-0000-00001C000000}">
      <text>
        <r>
          <rPr>
            <sz val="10"/>
            <rFont val="Arial"/>
            <family val="2"/>
          </rPr>
          <t>Apple does not separately disclose advertising/marketing for FY2016–FY2025, so this line is blank. See the SG&amp;A note for FY2023–FY2025 "Selling and marketing" figures.</t>
        </r>
      </text>
    </comment>
    <comment ref="B25" authorId="0" shapeId="0" xr:uid="{00000000-0006-0000-0000-000001000000}">
      <text>
        <r>
          <rPr>
            <sz val="10"/>
            <rFont val="Arial"/>
            <family val="2"/>
          </rPr>
          <t>"Other income/(expense), net" footnote: NON-interest residual for FY2016–FY2023. Apple stopped disclosing the interest/other split after FY2023, so FY2024–FY2025 carry the full net total here (+$269M / −$321M) with the interest lines blank. EBT still reconciles to reported pre-tax income.</t>
        </r>
      </text>
    </comment>
    <comment ref="B27" authorId="0" shapeId="0" xr:uid="{00000000-0006-0000-0000-000002000000}">
      <text>
        <r>
          <rPr>
            <sz val="10"/>
            <rFont val="Arial"/>
            <family val="2"/>
          </rPr>
          <t>EBITDA = Gross Profit − Total Operating Expenses + Other Income + D&amp;A. D&amp;A is ADDED BACK because Apple’s COGS and operating expenses already include it; EBIT below then subtracts it again to give the true operating result.</t>
        </r>
      </text>
    </comment>
    <comment ref="B31" authorId="0" shapeId="0" xr:uid="{00000000-0006-0000-0000-000003000000}">
      <text>
        <r>
          <rPr>
            <sz val="10"/>
            <rFont val="Arial"/>
            <family val="2"/>
          </rPr>
          <t>Depreciation &amp; amortization from the statement of cash flows (the add-back used between EBITDA and EBIT).</t>
        </r>
      </text>
    </comment>
    <comment ref="C39" authorId="0" shapeId="0" xr:uid="{00000000-0006-0000-0000-00001D000000}">
      <text>
        <r>
          <rPr>
            <sz val="10"/>
            <rFont val="Arial"/>
            <family val="2"/>
          </rPr>
          <t>Interest and dividend income, from the "Other income/(expense), net" footnote. Not separately disclosed after FY2023.</t>
        </r>
      </text>
    </comment>
    <comment ref="C41" authorId="0" shapeId="0" xr:uid="{00000000-0006-0000-0000-00001E000000}">
      <text>
        <r>
          <rPr>
            <sz val="10"/>
            <rFont val="Arial"/>
            <family val="2"/>
          </rPr>
          <t>Interest expense (shown negative), from the "Other income/(expense), net" footnote. Not separately disclosed after FY2023.</t>
        </r>
      </text>
    </comment>
    <comment ref="B53" authorId="0" shapeId="0" xr:uid="{00000000-0006-0000-0000-000004000000}">
      <text>
        <r>
          <rPr>
            <sz val="10"/>
            <rFont val="Arial"/>
            <family val="2"/>
          </rPr>
          <t>Apple reports no separate below-net-income non-recurring line. (The one-time FY2018 TCJA transition tax sits within Income Tax Expense, not here.)</t>
        </r>
      </text>
    </comment>
    <comment ref="B55" authorId="0" shapeId="0" xr:uid="{00000000-0006-0000-0000-000005000000}">
      <text>
        <r>
          <rPr>
            <sz val="10"/>
            <rFont val="Arial"/>
            <family val="2"/>
          </rPr>
          <t>Apple has no non-controlling interests, so this is nil and Net Income (Adjusted) equals Net Income (as reported).</t>
        </r>
      </text>
    </comment>
    <comment ref="G61" authorId="1" shapeId="0" xr:uid="{0BB0C5AA-35B7-4BDB-9AB4-DEBEEA3B8E04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Restated to post-split basis for Apple's Aug 2020 4-for-1 stock split (FY2016–FY2019 were originally reported pre-split). Matches Apple's restated per-share figures. Source: SEC EDGAR, Apple FY2021 10-K, https://www.sec.gov/Archives/edgar/data/0000320193/000032019321000105/aapl-20210925.htm</t>
        </r>
      </text>
    </comment>
    <comment ref="C67" authorId="0" shapeId="0" xr:uid="{00000000-0006-0000-0000-00001F000000}">
      <text>
        <r>
          <rPr>
            <sz val="10"/>
            <rFont val="Arial"/>
            <family val="2"/>
          </rPr>
          <t>Weighted-average shares, in millions, presented on a post-split basis for ALL years. FY2016–FY2019 restated for the Aug 2020 4-for-1 split (×4) to match Apple's restated figures; EPS rows 61/63 likewise restated (÷4).</t>
        </r>
      </text>
    </comment>
    <comment ref="G67" authorId="1" shapeId="0" xr:uid="{45BA24B8-1F59-420E-9F3D-289A617002DA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Restated to post-split basis (4-for-1, Aug 2020). Weighted-average shares ×4 vs. originally reported pre-split. Source: SEC EDGAR, Apple FY2021 10-K, https://www.sec.gov/Archives/edgar/data/0000320193/000032019321000105/aapl-20210925.htm</t>
        </r>
      </text>
    </comment>
    <comment ref="B79" authorId="0" shapeId="0" xr:uid="{00000000-0006-0000-0000-000006000000}">
      <text>
        <r>
          <rPr>
            <sz val="10"/>
            <rFont val="Arial"/>
            <family val="2"/>
          </rPr>
          <t>Links to "Net Income (Adjusted)" on the Income Statement above. Apple has no non-controlling interests or discontinued operations, so this equals reported net income.</t>
        </r>
      </text>
    </comment>
    <comment ref="B81" authorId="0" shapeId="0" xr:uid="{00000000-0006-0000-0000-000007000000}">
      <text>
        <r>
          <rPr>
            <sz val="10"/>
            <rFont val="Arial"/>
            <family val="2"/>
          </rPr>
          <t>Links to Depreciation &amp; Amortization on the Income Statement (cash-flow-statement figure).</t>
        </r>
      </text>
    </comment>
    <comment ref="B83" authorId="0" shapeId="0" xr:uid="{00000000-0006-0000-0000-000008000000}">
      <text>
        <r>
          <rPr>
            <sz val="10"/>
            <rFont val="Arial"/>
            <family val="2"/>
          </rPr>
          <t>Deferred income tax expense/(benefit). Apple stopped reporting this as a separate cash-flow line after FY2022 (folded into "other"); blank for FY2023–FY2025, where the effect sits inside "Other operating activities".</t>
        </r>
      </text>
    </comment>
    <comment ref="B85" authorId="0" shapeId="0" xr:uid="{00000000-0006-0000-0000-000009000000}">
      <text>
        <r>
          <rPr>
            <sz val="10"/>
            <rFont val="Arial"/>
            <family val="2"/>
          </rPr>
          <t>Includes share-based compensation (this template has no separate SBC line) plus Apple’s "other" non-cash adjustments. SBC by year: FY2016 $4,210M, FY2017 $4,840M, FY2018 $5,340M, FY2019 $6,068M, FY2020 $6,829M, FY2021 $7,906M, FY2022 $9,038M, FY2023 $10,833M, FY2024 $11,688M, FY2025 $12,863M.</t>
        </r>
      </text>
    </comment>
    <comment ref="C95" authorId="0" shapeId="0" xr:uid="{00000000-0006-0000-0000-000020000000}">
      <text>
        <r>
          <rPr>
            <sz val="10"/>
            <rFont val="Arial"/>
            <family val="2"/>
          </rPr>
          <t>Captures all working-capital movements other than receivables, inventory and payables — i.e. vendor non-trade receivables, other current/non-current assets, other current/non-current liabilities and deferred revenue — so the operating section reconciles to reported operating cash flow.</t>
        </r>
      </text>
    </comment>
    <comment ref="B109" authorId="0" shapeId="0" xr:uid="{00000000-0006-0000-0000-00000A000000}">
      <text>
        <r>
          <rPr>
            <sz val="10"/>
            <rFont val="Arial"/>
            <family val="2"/>
          </rPr>
          <t>Net of purchases, sales and maturities of marketable and non-marketable securities, business acquisitions (net of cash acquired) and intangible-asset purchases. Apple reports these on several separate lines; combined here so investing reconciles.</t>
        </r>
      </text>
    </comment>
    <comment ref="X109" authorId="0" shapeId="0" xr:uid="{3FC2BD53-E481-4125-BAF7-B86CF7F59C36}">
      <text>
        <r>
          <rPr>
            <sz val="10"/>
            <rFont val="Arial"/>
            <family val="2"/>
          </rPr>
          <t>Net of purchases, sales and maturities of marketable and non-marketable securities, business acquisitions (net of cash acquired) and intangible-asset purchases. Apple reports these on several separate lines; combined here so investing reconciles.</t>
        </r>
      </text>
    </comment>
    <comment ref="B112" authorId="0" shapeId="0" xr:uid="{00000000-0006-0000-0000-00000B000000}">
      <text>
        <r>
          <rPr>
            <sz val="10"/>
            <rFont val="Arial"/>
            <family val="2"/>
          </rPr>
          <t>Apple’s "other" investing line.</t>
        </r>
      </text>
    </comment>
    <comment ref="B118" authorId="0" shapeId="0" xr:uid="{00000000-0006-0000-0000-00000C000000}">
      <text>
        <r>
          <rPr>
            <sz val="10"/>
            <rFont val="Arial"/>
            <family val="2"/>
          </rPr>
          <t>Net proceeds from / (repayments of) commercial paper.</t>
        </r>
      </text>
    </comment>
    <comment ref="B120" authorId="0" shapeId="0" xr:uid="{00000000-0006-0000-0000-00000D000000}">
      <text>
        <r>
          <rPr>
            <sz val="10"/>
            <rFont val="Arial"/>
            <family val="2"/>
          </rPr>
          <t>Net of term-debt issuances and repayments (proceeds from issuance of term debt less repayments of term debt).</t>
        </r>
      </text>
    </comment>
    <comment ref="B126" authorId="0" shapeId="0" xr:uid="{00000000-0006-0000-0000-00000E000000}">
      <text>
        <r>
          <rPr>
            <sz val="10"/>
            <rFont val="Arial"/>
            <family val="2"/>
          </rPr>
          <t>Apple has no non-controlling interests; nil every year.</t>
        </r>
      </text>
    </comment>
    <comment ref="B128" authorId="0" shapeId="0" xr:uid="{00000000-0006-0000-0000-00000F000000}">
      <text>
        <r>
          <rPr>
            <sz val="10"/>
            <rFont val="Arial"/>
            <family val="2"/>
          </rPr>
          <t>Apple does not present a separate capital/finance-lease financing line; finance-lease principal is within Other financing activities.</t>
        </r>
      </text>
    </comment>
    <comment ref="B130" authorId="0" shapeId="0" xr:uid="{00000000-0006-0000-0000-000010000000}">
      <text>
        <r>
          <rPr>
            <sz val="10"/>
            <rFont val="Arial"/>
            <family val="2"/>
          </rPr>
          <t>Includes payments for taxes related to net share settlement of equity awards, proceeds from issuance of common stock (FY2016–FY2021) and other financing items; this template has no separate lines for them.</t>
        </r>
      </text>
    </comment>
    <comment ref="B134" authorId="0" shapeId="0" xr:uid="{00000000-0006-0000-0000-000011000000}">
      <text>
        <r>
          <rPr>
            <sz val="10"/>
            <rFont val="Arial"/>
            <family val="2"/>
          </rPr>
          <t>Apple does not present a separate exchange-rate effect on cash; nil here.</t>
        </r>
      </text>
    </comment>
    <comment ref="B151" authorId="0" shapeId="0" xr:uid="{00000000-0006-0000-0000-000012000000}">
      <text>
        <r>
          <rPr>
            <sz val="10"/>
            <rFont val="Arial"/>
            <family val="2"/>
          </rPr>
          <t>Includes Apple’s short-term marketable securities and vendor non-trade receivables in addition to other current assets (this template has no separate lines for them), so Total Current Assets reconciles to Apple’s reported figure. e.g. FY2025: short-term marketable securities $18,763M, vendor non-trade receivables $33,180M, other current assets $14,585M.</t>
        </r>
      </text>
    </comment>
    <comment ref="B159" authorId="0" shapeId="0" xr:uid="{00000000-0006-0000-0000-000013000000}">
      <text>
        <r>
          <rPr>
            <sz val="10"/>
            <rFont val="Arial"/>
            <family val="2"/>
          </rPr>
          <t>Apple reported goodwill and acquired intangibles as separate balance-sheet lines only through FY2017 (FY2016 $8,620M; FY2017 $8,015M). From FY2018 it folded them into other non-current assets, so they sit inside "Other long-term assets" below and this line is blank.</t>
        </r>
      </text>
    </comment>
    <comment ref="B161" authorId="0" shapeId="0" xr:uid="{00000000-0006-0000-0000-000014000000}">
      <text>
        <r>
          <rPr>
            <sz val="10"/>
            <rFont val="Arial"/>
            <family val="2"/>
          </rPr>
          <t>Includes Apple’s long-term marketable securities plus other non-current assets; from FY2018 it also includes the goodwill and acquired intangibles Apple no longer reports separately. e.g. FY2025: long-term marketable securities $77,723M, other non-current assets $83,727M.</t>
        </r>
      </text>
    </comment>
    <comment ref="B171" authorId="0" shapeId="0" xr:uid="{00000000-0006-0000-0000-000015000000}">
      <text>
        <r>
          <rPr>
            <sz val="10"/>
            <rFont val="Arial"/>
            <family val="2"/>
          </rPr>
          <t>Apple’s "other current liabilities" line (accrued expenses and other), shown separately from deferred revenue and debt.</t>
        </r>
      </text>
    </comment>
    <comment ref="B175" authorId="0" shapeId="0" xr:uid="{00000000-0006-0000-0000-000016000000}">
      <text>
        <r>
          <rPr>
            <sz val="10"/>
            <rFont val="Arial"/>
            <family val="2"/>
          </rPr>
          <t>Commercial paper plus the current portion of term debt. e.g. FY2025: commercial paper $7,979M, current portion of term debt $12,350M.</t>
        </r>
      </text>
    </comment>
    <comment ref="B177" authorId="0" shapeId="0" xr:uid="{00000000-0006-0000-0000-000017000000}">
      <text>
        <r>
          <rPr>
            <sz val="10"/>
            <rFont val="Arial"/>
            <family val="2"/>
          </rPr>
          <t>Apple’s current liabilities are fully captured by the lines above, so this line is nil every year.</t>
        </r>
      </text>
    </comment>
    <comment ref="B185" authorId="0" shapeId="0" xr:uid="{00000000-0006-0000-0000-000018000000}">
      <text>
        <r>
          <rPr>
            <sz val="10"/>
            <rFont val="Arial"/>
            <family val="2"/>
          </rPr>
          <t>Other non-current liabilities plus non-current deferred revenue (Apple reported the latter separately only through FY2018: FY2016 $2,930M, FY2017 $2,836M, FY2018 $2,797M).</t>
        </r>
      </text>
    </comment>
    <comment ref="B197" authorId="0" shapeId="0" xr:uid="{00000000-0006-0000-0000-000019000000}">
      <text>
        <r>
          <rPr>
            <sz val="10"/>
            <rFont val="Arial"/>
            <family val="2"/>
          </rPr>
          <t>Apple’s common stock and additional paid-in capital.</t>
        </r>
      </text>
    </comment>
    <comment ref="B201" authorId="0" shapeId="0" xr:uid="{00000000-0006-0000-0000-00001A000000}">
      <text>
        <r>
          <rPr>
            <sz val="10"/>
            <rFont val="Arial"/>
            <family val="2"/>
          </rPr>
          <t>Accumulated other comprehensive income/(loss).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Devansh Wadhwani</author>
  </authors>
  <commentList>
    <comment ref="F21" authorId="0" shapeId="0" xr:uid="{2D88DD74-3170-4029-A0E5-5E1FDD58F71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Total debt (long-term debt incl. current portion). Source: Microsoft Investor Relations, Q1 FY26 10-Q financial statements (~$40.4B), https://www.microsoft.com/en-us/investor</t>
        </r>
      </text>
    </comment>
    <comment ref="G21" authorId="0" shapeId="0" xr:uid="{65A31A7F-5768-4D12-8FFA-ADDBA9349AA5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capitalization. Source: stockanalysis.com / companiesmarketcap.com, as of Jun 26-29 2026 (market data)</t>
        </r>
      </text>
    </comment>
    <comment ref="H21" authorId="0" shapeId="0" xr:uid="{F2D73A22-31B9-4808-A580-4C6A9BE713B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Effective tax rate. Source: Microsoft Q1 FY26 10-Q (19%)</t>
        </r>
      </text>
    </comment>
    <comment ref="K21" authorId="0" shapeId="0" xr:uid="{84DE65DF-9C4B-4B19-9E3E-AD11EAE9CC7C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Levered (equity) beta. Source: stockanalysis.com, as of Jun 2026 (market data)</t>
        </r>
      </text>
    </comment>
    <comment ref="F22" authorId="0" shapeId="0" xr:uid="{1336F2A6-C20D-489E-BA6E-38230E003269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Book value of debt (long-term debt + capital leases). Source: GuruFocus, as of Mar 2026</t>
        </r>
      </text>
    </comment>
    <comment ref="G22" authorId="0" shapeId="0" xr:uid="{3EAE8277-A3F6-4E8C-AF1A-EDB88418631C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capitalization. Source: stockanalysis.com, as of Jun 29 2026 (market data)</t>
        </r>
      </text>
    </comment>
    <comment ref="H22" authorId="0" shapeId="0" xr:uid="{D29742DA-18C7-43F8-9438-8949BF1196DA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TTM effective tax rate ~17.6%. Source: GuruFocus, 2026</t>
        </r>
      </text>
    </comment>
    <comment ref="K22" authorId="0" shapeId="0" xr:uid="{3174B7E8-9953-4198-AFF6-BCD434B67A5D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Levered (equity) beta. Source: stockanalysis.com, as of Jun 2026 (market data)</t>
        </r>
      </text>
    </comment>
    <comment ref="F23" authorId="0" shapeId="0" xr:uid="{C7553CE6-DD4F-4740-AAC7-51F36C36B2F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Total debt incl. finance leases. Source: mlq.ai, as of Apr 2026</t>
        </r>
      </text>
    </comment>
    <comment ref="G23" authorId="0" shapeId="0" xr:uid="{EAD0FD8F-C808-448C-9B5F-E50E4E5DBB5B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capitalization. Source: stockanalysis.com / companiesmarketcap.com, as of Jun 26-27 2026 (market data)</t>
        </r>
      </text>
    </comment>
    <comment ref="H23" authorId="0" shapeId="0" xr:uid="{532A8F1A-74E6-42E6-B136-9B3B285F4A19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Effective tax rate (approx). Source: Amazon FY2025 10-K</t>
        </r>
      </text>
    </comment>
    <comment ref="K23" authorId="0" shapeId="0" xr:uid="{862C036D-4B5D-427C-A715-448961379D0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Levered (equity) beta. Source: stockanalysis.com, as of Jun 2026 (market data)</t>
        </r>
      </text>
    </comment>
    <comment ref="F24" authorId="0" shapeId="0" xr:uid="{0335B2BB-802D-4931-97D1-D0D297FEB320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Total long-term debt. Source: Meta Platforms Form 424B2 prospectus, 2026 (SEC EDGAR)</t>
        </r>
      </text>
    </comment>
    <comment ref="G24" authorId="0" shapeId="0" xr:uid="{6F71E94D-30A4-4B4C-B52E-D623E9567DEB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capitalization. Source: stockanalysis.com, as of Jun 26 2026 (market data)</t>
        </r>
      </text>
    </comment>
    <comment ref="H24" authorId="0" shapeId="0" xr:uid="{899892A3-6CA4-485E-969B-8E35E72C8EFD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Normalized effective tax rate. FY2025 reported rate 30% included a one-time OBBBA-related charge; normalized ~13% per Meta Q4 FY25 8-K</t>
        </r>
      </text>
    </comment>
    <comment ref="K24" authorId="0" shapeId="0" xr:uid="{B1A49DE8-6E09-4EC9-897A-BB7AF24F8E25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Levered (equity) beta. Source: stockanalysis.com, as of Jun 2026 (market data)</t>
        </r>
      </text>
    </comment>
    <comment ref="F25" authorId="0" shapeId="0" xr:uid="{7C6BFD47-B1DC-464D-9D03-1E9F7025A3E7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Total debt (USD ~$18.5B; ≈KRW 28.1T). Source: stockanalysis.com (SSNLF), as of Jun 2026</t>
        </r>
      </text>
    </comment>
    <comment ref="G25" authorId="0" shapeId="0" xr:uid="{14CB1979-FFDD-40FE-A254-F6E14DC1D6B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capitalization (USD). Source: stockanalysis.com / companiesmarketcap.com, as of Jun 25 2026 (market data)</t>
        </r>
      </text>
    </comment>
    <comment ref="H25" authorId="0" shapeId="0" xr:uid="{3B5949E3-A973-48B5-A13D-CF5CBBB78863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Tax rate ~24% (South Korea statutory/normalized); TTM effective rate volatile. Source: company filings / GuruFocus</t>
        </r>
      </text>
    </comment>
    <comment ref="K25" authorId="0" shapeId="0" xr:uid="{EE250CA4-24C5-49F1-A70A-3B4198078A97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Levered beta measured vs. KOSPI (local market) — not directly comparable to US-listed peers' betas vs. S&amp;P 500. Source: stockanalysis.com (KRX:005930), Jun 2026</t>
        </r>
      </text>
    </comment>
    <comment ref="E32" authorId="0" shapeId="0" xr:uid="{2B3C1362-B5A4-40EA-90FF-54AAD00B0B7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Risk Premium = implied US equity risk premium, Damodaran 2026 edition (4.46%; mature-market 4.23% after removing the 0.23% US default spread). Source: Aswath Damodaran, NYU Stern, ERP 2026 update, Mar 2026.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Devansh Wadhwani</author>
  </authors>
  <commentList>
    <comment ref="E21" authorId="0" shapeId="0" xr:uid="{A18607B4-6BA1-4B8C-9A11-CB6AABFEF6D7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Terminal EV/EBITDA = 20.0x. Apple 10-yr median EV/EBITDA ≈ 20.0x (GuruFocus, ~May 2026); 5-yr median 21.1x (finbox); 20-yr avg 17.1x; current (elevated) ≈ 25.8x; hardware-industry median ≈ 16x. 20x chosen as a normalized terminal multiple reflecting growth maturation by the terminal year. Source: GuruFocus / financecharts / finbox, Jun 2026.</t>
        </r>
      </text>
    </comment>
    <comment ref="E58" authorId="0" shapeId="0" xr:uid="{A422CACA-0255-4BF5-8F6F-93493FCC7A35}">
      <text>
        <r>
          <rPr>
            <b/>
            <sz val="9"/>
            <color indexed="81"/>
            <rFont val="Tahoma"/>
            <family val="2"/>
          </rPr>
          <t>Net Debt = Total Debt (ST + LT) − Cash &amp; Equivalents − Marketable Securities (ST $18,763M + LT $77,723M, FY2025A); a negative figure means Apple is net cash.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<sst xmlns="http://schemas.openxmlformats.org/spreadsheetml/2006/main" count="614" uniqueCount="359">
  <si>
    <t>Income Statement</t>
  </si>
  <si>
    <t>(US$ in millions, except per-share data)</t>
  </si>
  <si>
    <t>Particulars</t>
  </si>
  <si>
    <t>2016A</t>
  </si>
  <si>
    <t>2017A</t>
  </si>
  <si>
    <t>2018A</t>
  </si>
  <si>
    <t>2019A</t>
  </si>
  <si>
    <t>2020A</t>
  </si>
  <si>
    <t>2021A</t>
  </si>
  <si>
    <t>2022A</t>
  </si>
  <si>
    <t>2023A</t>
  </si>
  <si>
    <t>2024A</t>
  </si>
  <si>
    <t>2025A</t>
  </si>
  <si>
    <t>2026E</t>
  </si>
  <si>
    <t>2027E</t>
  </si>
  <si>
    <t>2028E</t>
  </si>
  <si>
    <t>2029E</t>
  </si>
  <si>
    <t>2030E</t>
  </si>
  <si>
    <t>Terminal Year</t>
  </si>
  <si>
    <t>Revenue</t>
  </si>
  <si>
    <t>COGS</t>
  </si>
  <si>
    <t>Gross Profit</t>
  </si>
  <si>
    <t>GP Margin</t>
  </si>
  <si>
    <t>Operating Expenses</t>
  </si>
  <si>
    <t>SG&amp;A</t>
  </si>
  <si>
    <t>Advertising &amp; Marketing</t>
  </si>
  <si>
    <t>R&amp;D</t>
  </si>
  <si>
    <t>Total Operating Expenses</t>
  </si>
  <si>
    <t>Other Income</t>
  </si>
  <si>
    <t>EBITDA</t>
  </si>
  <si>
    <t>EBITDA Margin</t>
  </si>
  <si>
    <t>Depreciation &amp; Amortization</t>
  </si>
  <si>
    <t>EBIT</t>
  </si>
  <si>
    <t>EBIT Margin</t>
  </si>
  <si>
    <t>Interest</t>
  </si>
  <si>
    <t>Interest Income</t>
  </si>
  <si>
    <t>Interest Expense</t>
  </si>
  <si>
    <t>Net Interest Income/Expense</t>
  </si>
  <si>
    <t>EBT</t>
  </si>
  <si>
    <t>EBT Margin</t>
  </si>
  <si>
    <t>Income Tax Expense</t>
  </si>
  <si>
    <t>Net Income (Adjusted)</t>
  </si>
  <si>
    <t>Non-recurring events</t>
  </si>
  <si>
    <t>Non-Controlling Interests</t>
  </si>
  <si>
    <t>Net Income (as reported)</t>
  </si>
  <si>
    <t>Earnings per share (EPS)</t>
  </si>
  <si>
    <t>Basic</t>
  </si>
  <si>
    <t>Diluted</t>
  </si>
  <si>
    <t>Average common shares outstanding</t>
  </si>
  <si>
    <t>Cash Flow Statement</t>
  </si>
  <si>
    <t>(US$ in millions)</t>
  </si>
  <si>
    <t>Cash flows from Operating Activities</t>
  </si>
  <si>
    <t>Deferred income taxes</t>
  </si>
  <si>
    <t>Other operating activities</t>
  </si>
  <si>
    <t>Changes in operating working capital</t>
  </si>
  <si>
    <t>Changes in accounts receivable</t>
  </si>
  <si>
    <t>Changes in inventory</t>
  </si>
  <si>
    <t>Changes in accounts payable</t>
  </si>
  <si>
    <t>Changes in accrued liabilities</t>
  </si>
  <si>
    <t>Net changes in operating working capital</t>
  </si>
  <si>
    <t>Total cash flow from Operating Activities</t>
  </si>
  <si>
    <t>Cash flows from Investing Activities</t>
  </si>
  <si>
    <t>Payments for PP&amp;E (CAPEX)</t>
  </si>
  <si>
    <t>Proceeds from disposal of PP&amp;E</t>
  </si>
  <si>
    <t>Investments and business acquisitions,</t>
  </si>
  <si>
    <t>net of cash acquired</t>
  </si>
  <si>
    <t>Other investing activities</t>
  </si>
  <si>
    <t>Total cash flow from Investing Activities</t>
  </si>
  <si>
    <t>Cash flows from Financing Activities</t>
  </si>
  <si>
    <t>Short-term borrowings (repayments)</t>
  </si>
  <si>
    <t>Long-term borrowings (repayments)</t>
  </si>
  <si>
    <t>Dividends paid</t>
  </si>
  <si>
    <t>Purchase of common stock (treasury stock)</t>
  </si>
  <si>
    <t>Purchase of redeemable noncontrolling interest</t>
  </si>
  <si>
    <t>Capital lease obligations</t>
  </si>
  <si>
    <t>Other financing activities</t>
  </si>
  <si>
    <t>Total cash flow from Financing Activities</t>
  </si>
  <si>
    <t>Effect of Exchange Rate on Cash</t>
  </si>
  <si>
    <t>Total change in Cash and Cash Equivalents</t>
  </si>
  <si>
    <t>Balance Sheet</t>
  </si>
  <si>
    <t>Current Assets</t>
  </si>
  <si>
    <t>Cash and cash equivalents</t>
  </si>
  <si>
    <t>Accounts receivable, net</t>
  </si>
  <si>
    <t>Inventories</t>
  </si>
  <si>
    <t>Other current assets</t>
  </si>
  <si>
    <t>Total Current Assets</t>
  </si>
  <si>
    <t>Non-Current Assets</t>
  </si>
  <si>
    <t>Net property, plant &amp; equipment</t>
  </si>
  <si>
    <t>Goodwill &amp; intangible assets</t>
  </si>
  <si>
    <t>Other long-term assets</t>
  </si>
  <si>
    <t>Total Non-Current Assets</t>
  </si>
  <si>
    <t>Total Assets</t>
  </si>
  <si>
    <t>Current Liabilities</t>
  </si>
  <si>
    <t>Accounts payable</t>
  </si>
  <si>
    <t>Accrued liabilities</t>
  </si>
  <si>
    <t>Deferred revenue</t>
  </si>
  <si>
    <t>Short-term debt &amp; current portion of long-term debt</t>
  </si>
  <si>
    <t>Other current liabilities</t>
  </si>
  <si>
    <t>Total Current Liabilities</t>
  </si>
  <si>
    <t>Non-Current Liabilities</t>
  </si>
  <si>
    <t>Long-term debt</t>
  </si>
  <si>
    <t>Other long-term liabilities</t>
  </si>
  <si>
    <t>Total Non-Current Liabilities</t>
  </si>
  <si>
    <t>Total Liabilities</t>
  </si>
  <si>
    <t>Shareholders' Equity</t>
  </si>
  <si>
    <t>Equity Share Capital</t>
  </si>
  <si>
    <t>Retained Earnings</t>
  </si>
  <si>
    <t>Other Equity</t>
  </si>
  <si>
    <t>Total shareholders' equity</t>
  </si>
  <si>
    <t>Total Liabilities &amp; Equity</t>
  </si>
  <si>
    <t>Balance Check (Assets − Liab. &amp; Equity)</t>
  </si>
  <si>
    <t xml:space="preserve"> </t>
  </si>
  <si>
    <t>Revolving credit line</t>
  </si>
  <si>
    <t>Key Drivers</t>
  </si>
  <si>
    <t>Best Case</t>
  </si>
  <si>
    <t>Base Case</t>
  </si>
  <si>
    <t>Worst Case</t>
  </si>
  <si>
    <t>Tax Rate</t>
  </si>
  <si>
    <t>Capex</t>
  </si>
  <si>
    <t>Revenue Growth (%)</t>
  </si>
  <si>
    <t>COGS (% of Revenue)</t>
  </si>
  <si>
    <t>R&amp;D (% of Revenue)</t>
  </si>
  <si>
    <t>Tax Rate (%)</t>
  </si>
  <si>
    <t>Capex (% of Revenue)</t>
  </si>
  <si>
    <t>Revenue Growth</t>
  </si>
  <si>
    <t>SG&amp;A (% of Revenue)</t>
  </si>
  <si>
    <t>Notes &amp; Methodology</t>
  </si>
  <si>
    <t>Driver</t>
  </si>
  <si>
    <t>Basis &amp; Methodology</t>
  </si>
  <si>
    <t>Interpolated between 15.0% in FY2026E and 3.0% in the terminal year, then distributed non-linearly across the forecast period.</t>
  </si>
  <si>
    <t>Held constant in line with gross-margin guidance of approximately 48%; margins are already elevated, so no further expansion is assumed.</t>
  </si>
  <si>
    <t>Projected at approximately 6.5% of revenue, consistent with the trailing five-year average.</t>
  </si>
  <si>
    <t>Grown in line with revenue, reflecting management's guidance toward continued investment.</t>
  </si>
  <si>
    <t>Held at 17.0% in the base case, consistent with management guidance.</t>
  </si>
  <si>
    <t>Cost of Debt assumed at 4% as per 10K</t>
  </si>
  <si>
    <t>Investment Yield assumed 2.5% as per 10K</t>
  </si>
  <si>
    <t>Basic is roughly 0.4% below Diluted</t>
  </si>
  <si>
    <t>Forecasted based on Revenue</t>
  </si>
  <si>
    <t>Basic Shares</t>
  </si>
  <si>
    <t>Diluted Shares</t>
  </si>
  <si>
    <t>Forecasted based on Net Income</t>
  </si>
  <si>
    <t>Depreciation Schedule</t>
  </si>
  <si>
    <t>Exisiting Asset Depreciation</t>
  </si>
  <si>
    <t>Useful Life: Existing Assets</t>
  </si>
  <si>
    <t>Net PP&amp;E at End of 2025</t>
  </si>
  <si>
    <t>Percent of Full Year</t>
  </si>
  <si>
    <t>Year 1</t>
  </si>
  <si>
    <t>Year 2</t>
  </si>
  <si>
    <t>Year 3</t>
  </si>
  <si>
    <t>Year 4</t>
  </si>
  <si>
    <t>Year 5</t>
  </si>
  <si>
    <t>New Asset Depreciation</t>
  </si>
  <si>
    <t>Useful Life: New Assets</t>
  </si>
  <si>
    <t>First year Accounting Depreciation</t>
  </si>
  <si>
    <t>Year</t>
  </si>
  <si>
    <t>Life</t>
  </si>
  <si>
    <t>Held at 2.8% of revenue in the base case. Assumed 0 in Terminal</t>
  </si>
  <si>
    <t>year.</t>
  </si>
  <si>
    <t>Per Year</t>
  </si>
  <si>
    <t>Amount of Depreciation</t>
  </si>
  <si>
    <t>Total Asset Depreciation</t>
  </si>
  <si>
    <t>Existing Assets</t>
  </si>
  <si>
    <t>New Assets</t>
  </si>
  <si>
    <t>Total Depreciation</t>
  </si>
  <si>
    <t>Amortization</t>
  </si>
  <si>
    <t>Total Depreciation Expense</t>
  </si>
  <si>
    <t>PP&amp;E Depreciation Expense</t>
  </si>
  <si>
    <t>Amortization Expense</t>
  </si>
  <si>
    <t>Total D&amp;A Expense</t>
  </si>
  <si>
    <t>Total Amortization</t>
  </si>
  <si>
    <t>Assumed no acquisitions or major investments</t>
  </si>
  <si>
    <t>Working Capital Schedule</t>
  </si>
  <si>
    <t>Account receivables, net</t>
  </si>
  <si>
    <t>Days Receivable</t>
  </si>
  <si>
    <t>Inventory turnover days</t>
  </si>
  <si>
    <t>Days payable</t>
  </si>
  <si>
    <t>Net Operating Working Capital</t>
  </si>
  <si>
    <t>Income Tax Schedule (Unlevered)</t>
  </si>
  <si>
    <t>First Year Tax Depreciation</t>
  </si>
  <si>
    <t>Blended Tax Depreciation Rate</t>
  </si>
  <si>
    <t>Beginning PP&amp;E</t>
  </si>
  <si>
    <t>Tax Depreciation</t>
  </si>
  <si>
    <t>Ending</t>
  </si>
  <si>
    <t>Ending PP&amp;E</t>
  </si>
  <si>
    <t>Tax Depreciation Calculation</t>
  </si>
  <si>
    <t>Adjustment for Depreciation</t>
  </si>
  <si>
    <t>Add: Accounting D&amp;A</t>
  </si>
  <si>
    <t>Tax Amortization</t>
  </si>
  <si>
    <t>Less: Tax Depreciation</t>
  </si>
  <si>
    <t>EBT After Adjustment</t>
  </si>
  <si>
    <t>Adjustment for Tax Losses</t>
  </si>
  <si>
    <t>Less: Use of Tax Losses</t>
  </si>
  <si>
    <t>Taxable Income</t>
  </si>
  <si>
    <t>Effective Tax Rate</t>
  </si>
  <si>
    <t>Tax Losses</t>
  </si>
  <si>
    <t>Beginning</t>
  </si>
  <si>
    <t>Add: New Losses</t>
  </si>
  <si>
    <t>Terminal D&amp;A</t>
  </si>
  <si>
    <t>Assumed equal to the last year</t>
  </si>
  <si>
    <t>Taxes</t>
  </si>
  <si>
    <t>Current Taxes</t>
  </si>
  <si>
    <t>Deferred Taxes</t>
  </si>
  <si>
    <t>Total taxes</t>
  </si>
  <si>
    <t>Other Current Assets</t>
  </si>
  <si>
    <t>Forecasted linearly based on Revenue</t>
  </si>
  <si>
    <t>Other Long Term Assets</t>
  </si>
  <si>
    <t>Deferred Revenue</t>
  </si>
  <si>
    <t>Deferred revenue (current) ~2.2% of revenue (FY25 level); non-current portion is inside Other LT liabilities, not counted here.</t>
  </si>
  <si>
    <t>Other LT liabilities ~10% of revenue (FY25 level, held flat)</t>
  </si>
  <si>
    <t>Dividends</t>
  </si>
  <si>
    <t>Assumed a growth of nearly 3% every year</t>
  </si>
  <si>
    <t>Buybacks</t>
  </si>
  <si>
    <t>Assumed constant at $100B/year as per historical trend</t>
  </si>
  <si>
    <t>Forecasted based on Equity Share Capital because SBC was a major part of it</t>
  </si>
  <si>
    <t>Line Item</t>
  </si>
  <si>
    <t>Investments and business acquisitions, net of cash acquired</t>
  </si>
  <si>
    <t>Total Debt</t>
  </si>
  <si>
    <t>Considered constant</t>
  </si>
  <si>
    <t>The projection method is: 1. Forecast the core at the guided run-rate (~$250M/quarter ≈ ~+$1B/year for FY2026). 2. Set mark-to-market to zero — it's noise with no predictable sign, so the unbiased estimate is zero. 3. Fade toward zero in the out-years: as buybacks keep shrinking the cash/securities balance while debt persists, net interest drifts down, so a glide to ~$0 is the conservative read.</t>
  </si>
  <si>
    <t>Annual buybacks cause a reduction, with the rate being roughly 2%</t>
  </si>
  <si>
    <t>Short-term debt</t>
  </si>
  <si>
    <t>Other Long Term Liabilities</t>
  </si>
  <si>
    <t>Increased 3% of Revenue each year due to historical Shares-Based Compensation</t>
  </si>
  <si>
    <t>Calculation of WACC</t>
  </si>
  <si>
    <t>Other changes in operating working capital</t>
  </si>
  <si>
    <t>Cost of Debt</t>
  </si>
  <si>
    <t>Total debt</t>
  </si>
  <si>
    <t>Deferred tax liabilities</t>
  </si>
  <si>
    <t>Model Balancing Adjustments</t>
  </si>
  <si>
    <t>Change</t>
  </si>
  <si>
    <t>What &amp; why</t>
  </si>
  <si>
    <t>Cash — ending balance</t>
  </si>
  <si>
    <t>Cash now rolls as prior-year balance + net change in cash. Previously it captured only the annual change, dropping the ~$36B opening balance.</t>
  </si>
  <si>
    <t>Capex line</t>
  </si>
  <si>
    <t>Set to pure capex (Key Drivers capex % × revenue) instead of the net change in PP&amp;E, so depreciation is no longer netted against the capex outflow.</t>
  </si>
  <si>
    <t>Depreciation vs. amortization</t>
  </si>
  <si>
    <t>PP&amp;E is reduced by depreciation only; amortization (~$3.7B/yr, Schedules row 55) is routed through Other long-term assets via the Other investing line, since Apple folds intangibles into other LT assets.</t>
  </si>
  <si>
    <t>SBC ↔ Equity Share Capital</t>
  </si>
  <si>
    <t>Equity Share Capital = prior + SBC add-back (Other operating) + Other financing, so the equity increase exactly matches the non-cash SBC flowing through cash flow.</t>
  </si>
  <si>
    <t>Other LT liabilities</t>
  </si>
  <si>
    <t>Their annual change is now captured in 'Other changes in operating working capital', so the balance-sheet movement flows through operating cash.</t>
  </si>
  <si>
    <t>Other LT assets</t>
  </si>
  <si>
    <t>Their change now flows through 'Other investing activities' (replacing a hardcoded figure).</t>
  </si>
  <si>
    <t>Deferred tax liabilities (new line)</t>
  </si>
  <si>
    <t>Added a balance-sheet line (row 186) that accumulates the deferred-tax add-back from operating cash flow, giving it a balancing counterpart.</t>
  </si>
  <si>
    <t>Terminal capex %</t>
  </si>
  <si>
    <t>Set the Terminal-year capex scenarios in Key Drivers (Best/Base/Worst = 2.6%/2.8%/3.0%); they were 0, which had zeroed terminal capex.</t>
  </si>
  <si>
    <t>Terminal PP&amp;E depreciation</t>
  </si>
  <si>
    <t>Pointed terminal PP&amp;E at the held-flat 2030E depreciation (Schedules!L54) instead of a blank terminal column, so terminal PP&amp;E is depreciated.</t>
  </si>
  <si>
    <t>Iterative calculation</t>
  </si>
  <si>
    <t>Enabled iterative calculation (100 iterations, max change 0.001) to resolve the model's circular references (e.g. interest on cash).</t>
  </si>
  <si>
    <t>Result</t>
  </si>
  <si>
    <t>Balance Check is now 0 across all years (2025A–Terminal).</t>
  </si>
  <si>
    <t>Average Cost of Debt</t>
  </si>
  <si>
    <t>Cost of Equity</t>
  </si>
  <si>
    <t>Post-Tax Average Cost of Debt</t>
  </si>
  <si>
    <t>Company</t>
  </si>
  <si>
    <t>Region</t>
  </si>
  <si>
    <t>Debt</t>
  </si>
  <si>
    <t>Equity</t>
  </si>
  <si>
    <t>D/E</t>
  </si>
  <si>
    <t>D/Capital</t>
  </si>
  <si>
    <t>Levered Beta</t>
  </si>
  <si>
    <t>Unlevered Beta</t>
  </si>
  <si>
    <t>Average</t>
  </si>
  <si>
    <t>Median</t>
  </si>
  <si>
    <t>Microsoft</t>
  </si>
  <si>
    <t>United States</t>
  </si>
  <si>
    <t>Alphabet</t>
  </si>
  <si>
    <t>Amazon.com</t>
  </si>
  <si>
    <t>Meta Platforms</t>
  </si>
  <si>
    <t>Samsung Electronics</t>
  </si>
  <si>
    <t>South Korea</t>
  </si>
  <si>
    <t>Risk Premium for Equity</t>
  </si>
  <si>
    <t>Market Risk Premium</t>
  </si>
  <si>
    <t>Average Unlevered Beta</t>
  </si>
  <si>
    <t>Equity Risk Premium</t>
  </si>
  <si>
    <t>Capital Structure</t>
  </si>
  <si>
    <t>Market Capitalization</t>
  </si>
  <si>
    <t>Total Capitalization</t>
  </si>
  <si>
    <t>Current</t>
  </si>
  <si>
    <t>Target</t>
  </si>
  <si>
    <t>Target D/E</t>
  </si>
  <si>
    <t>Risk-free Rate</t>
  </si>
  <si>
    <t>Country Risk Premium</t>
  </si>
  <si>
    <t>Weighted Average Cost of Capital (WACC)</t>
  </si>
  <si>
    <t>Debt Capital</t>
  </si>
  <si>
    <t>Equity Capital</t>
  </si>
  <si>
    <t>Weight</t>
  </si>
  <si>
    <t>Cost</t>
  </si>
  <si>
    <t>Weighted Average Cost of Capital</t>
  </si>
  <si>
    <t>Unlevered Free Cash Flow (UFCF)</t>
  </si>
  <si>
    <t>Net Income</t>
  </si>
  <si>
    <t>Other non-cash items</t>
  </si>
  <si>
    <t>UFCF</t>
  </si>
  <si>
    <t>Working capital changes</t>
  </si>
  <si>
    <t>Discounted Cash Flow Schedule: Multiple Method</t>
  </si>
  <si>
    <t>Terminal Multiple</t>
  </si>
  <si>
    <t>WACC</t>
  </si>
  <si>
    <t>Terminal Adjustment</t>
  </si>
  <si>
    <t>Discrete Forecast</t>
  </si>
  <si>
    <t>Term</t>
  </si>
  <si>
    <t>Cash Flow Timing</t>
  </si>
  <si>
    <t>Unlevered Free Cash Flow</t>
  </si>
  <si>
    <t>Terminal Value</t>
  </si>
  <si>
    <t>Total Cash Flow</t>
  </si>
  <si>
    <t>Partial Period Adjustment</t>
  </si>
  <si>
    <t>Years for Discounting</t>
  </si>
  <si>
    <t>Enterprise Value</t>
  </si>
  <si>
    <t>Less: Net Debt</t>
  </si>
  <si>
    <t>Equity Value</t>
  </si>
  <si>
    <t>Shares Outstanding</t>
  </si>
  <si>
    <t>Equity Value per Share</t>
  </si>
  <si>
    <t>Valuation</t>
  </si>
  <si>
    <t>Unadjusted Cash Flow</t>
  </si>
  <si>
    <t>Adjusted Cash Flow</t>
  </si>
  <si>
    <t>(YY-MM-DD)</t>
  </si>
  <si>
    <t>Fiscal Year End</t>
  </si>
  <si>
    <t>Discounted Cash Flow</t>
  </si>
  <si>
    <t>Equity Value Per Share</t>
  </si>
  <si>
    <t>Model Drivers Set To</t>
  </si>
  <si>
    <t>Main Outputs</t>
  </si>
  <si>
    <t>Selected Inputs</t>
  </si>
  <si>
    <t>Equity Per Share</t>
  </si>
  <si>
    <t>Net Debt</t>
  </si>
  <si>
    <t>Current Stock Price</t>
  </si>
  <si>
    <t>Premium (Discount) to Stock Price</t>
  </si>
  <si>
    <t>Dashboard</t>
  </si>
  <si>
    <t>Apple Inc.</t>
  </si>
  <si>
    <t>NASDAQ: AAPL</t>
  </si>
  <si>
    <t>Discounted Cash Flow Valuation Model</t>
  </si>
  <si>
    <t>Valuation Date: 1 July 2026</t>
  </si>
  <si>
    <t>All figures in USD millions unless otherwise stated</t>
  </si>
  <si>
    <t>Table of Contents</t>
  </si>
  <si>
    <t>Output</t>
  </si>
  <si>
    <t>Valuation dashboard — main outputs &amp; sensitivity tables</t>
  </si>
  <si>
    <t>Scenario assumptions — revenue growth, margins, capex</t>
  </si>
  <si>
    <t>Financial Statements</t>
  </si>
  <si>
    <t>Income statement, balance sheet &amp; cash flow</t>
  </si>
  <si>
    <t>Schedules</t>
  </si>
  <si>
    <t>Supporting schedules — D&amp;A, working capital, tax</t>
  </si>
  <si>
    <t>Cost of capital &amp; comparable-company betas</t>
  </si>
  <si>
    <t>Model</t>
  </si>
  <si>
    <t>Unlevered free cash flow &amp; DCF valuation</t>
  </si>
  <si>
    <t>Multiple Method — Best / Base / Worst Case Scenarios with Sensitivity Analysis</t>
  </si>
  <si>
    <t>Useful Life — Existing Assets</t>
  </si>
  <si>
    <t>Depreciation expense on the ~$8B PP&amp;E base: $49,836 / 8,000 ≈ 6-year life.</t>
  </si>
  <si>
    <t>Useful Life — New Assets</t>
  </si>
  <si>
    <t>Back-calculated implied useful life using depreciation expense ≈ 10 years.</t>
  </si>
  <si>
    <t>Assumed constant due to lack of disclosure in the 10-K.</t>
  </si>
  <si>
    <t>~17%: FY25 guidance, up from ~15% on the global minimum tax; below the 21% statutory rate via foreign mix, R&amp;D credit &amp; SBC. (FY24's 24.1% was a one-off State Aid charge, excluded.)</t>
  </si>
  <si>
    <t>~34% (derived) = tax depreciation ÷ opening tax basis ≈ $11.5B / $33.5B; backed out from ΔDTL — a normalized pre-bonus blend (new capex is 100% expensed under current law).</t>
  </si>
  <si>
    <t>Beginning PP&amp;E (Tax Basis)</t>
  </si>
  <si>
    <t>Est. tax basis of net PP&amp;E (FY25) = book net PP&amp;E − depreciation DTL / rate = $45.7B − $2,551M / 21% ≈ $33.5B; not disclosed, sensitive to rate (~$35.5B at 25%).</t>
  </si>
  <si>
    <t>Assumed equivalent to accounting amortization.</t>
  </si>
  <si>
    <t>Circularity Switch</t>
  </si>
  <si>
    <t>ON</t>
  </si>
  <si>
    <t>ON = live circular calc (iterative). OFF = breaks loop via prior-period cash.</t>
  </si>
  <si>
    <t>After-tax Net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</si>
</sst>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;\(#,##0\);\–"/>
    <numFmt numFmtId="165" formatCode="0.0%"/>
    <numFmt numFmtId="166" formatCode="\$#,##0.00"/>
    <numFmt numFmtId="167" formatCode="0.0"/>
    <numFmt numFmtId="168" formatCode="0.0&quot;x&quot;"/>
    <numFmt numFmtId="169" formatCode="&quot;₹&quot;#,##0.00"/>
    <numFmt numFmtId="170" formatCode="yy/mm/dd"/>
    <numFmt numFmtId="171" formatCode="#,##0.0000000000000"/>
  </numFmts>
  <fonts count="56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  <font>
      <b/>
      <sz val="16"/>
      <color theme="0"/>
      <name val="Times New Roman"/>
      <family val="1"/>
      <charset val="1"/>
    </font>
    <font>
      <sz val="11"/>
      <color theme="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2"/>
      <color rgb="FF0000FF"/>
      <name val="Times New Roman"/>
      <family val="1"/>
      <charset val="1"/>
    </font>
    <font>
      <sz val="12"/>
      <color rgb="FF000000"/>
      <name val="Times New Roman"/>
      <family val="1"/>
      <charset val="1"/>
    </font>
    <font>
      <i/>
      <sz val="12"/>
      <color theme="1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i/>
      <sz val="9"/>
      <color rgb="FF000000"/>
      <name val="Times New Roman"/>
      <family val="1"/>
      <charset val="1"/>
    </font>
    <font>
      <sz val="12"/>
      <color theme="0"/>
      <name val="Times New Roman"/>
      <family val="1"/>
      <charset val="1"/>
    </font>
    <font>
      <i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FF"/>
      <name val="Times New Roman"/>
      <charset val="1"/>
    </font>
    <font>
      <b/>
      <sz val="12"/>
      <color rgb="FF000000"/>
      <name val="Times New Roman"/>
      <charset val="1"/>
    </font>
    <font>
      <sz val="10"/>
      <name val="Arial"/>
      <family val="2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Calibri"/>
      <family val="2"/>
      <charset val="1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theme="1"/>
      <name val="Times New Roman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6"/>
      <color theme="0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FFFFFF"/>
      <name val="Times New Roman"/>
      <family val="1"/>
    </font>
    <font>
      <b/>
      <sz val="16"/>
      <color rgb="FFFFFFFF"/>
      <name val="Times New Roman"/>
    </font>
    <font>
      <sz val="12"/>
      <color rgb="FF000000"/>
      <name val="Times New Roman"/>
      <family val="1"/>
    </font>
    <font>
      <b/>
      <sz val="11"/>
      <color theme="1"/>
      <name val="Calibri"/>
      <family val="2"/>
      <charset val="1"/>
    </font>
    <font>
      <sz val="12"/>
      <color rgb="FF0000FF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  <charset val="1"/>
    </font>
    <font>
      <u/>
      <sz val="11"/>
      <color theme="10"/>
      <name val="Calibri"/>
      <family val="2"/>
      <charset val="1"/>
    </font>
    <font>
      <sz val="11"/>
      <color theme="1"/>
      <name val="Times New Roman"/>
      <family val="1"/>
    </font>
    <font>
      <sz val="16"/>
      <color theme="0"/>
      <name val="Times New Roman"/>
      <family val="1"/>
    </font>
    <font>
      <b/>
      <sz val="16"/>
      <color rgb="FFFFFFFF"/>
      <name val="Times New Roman"/>
      <family val="1"/>
    </font>
    <font>
      <i/>
      <sz val="10"/>
      <color theme="1"/>
      <name val="Times New Roman"/>
      <family val="1"/>
    </font>
    <font>
      <sz val="12"/>
      <name val="Times New Roman"/>
      <family val="1"/>
    </font>
    <font>
      <i/>
      <sz val="9"/>
      <color theme="1"/>
      <name val="Times New Roman"/>
      <family val="1"/>
    </font>
    <font>
      <b/>
      <sz val="26"/>
      <color rgb="FFFFFFFF"/>
      <name val="Times New Roman"/>
      <family val="1"/>
    </font>
    <font>
      <sz val="13"/>
      <color rgb="FFFFFFFF"/>
      <name val="Times New Roman"/>
      <family val="1"/>
    </font>
    <font>
      <b/>
      <sz val="16"/>
      <color rgb="FF002060"/>
      <name val="Times New Roman"/>
      <family val="1"/>
    </font>
    <font>
      <u/>
      <sz val="12"/>
      <color rgb="FF0000FF"/>
      <name val="Times New Roman"/>
      <family val="1"/>
    </font>
    <font>
      <b/>
      <sz val="12"/>
      <color rgb="FF002060"/>
      <name val="Times New Roman"/>
      <family val="1"/>
    </font>
    <font>
      <i/>
      <sz val="11"/>
      <color rgb="FF595959"/>
      <name val="Times New Roman"/>
      <family val="1"/>
    </font>
    <font>
      <i/>
      <sz val="9"/>
      <color rgb="FF808080"/>
      <name val="Times New Roman"/>
      <family val="1"/>
    </font>
    <font>
      <i/>
      <sz val="10"/>
      <color rgb="FF595959"/>
      <name val="Times New Roman"/>
      <family val="1"/>
    </font>
    <font>
      <sz val="12"/>
      <name val="Times New Roman"/>
      <family val="1"/>
      <charset val="1"/>
    </font>
    <font>
      <i/>
      <sz val="9"/>
      <color rgb="FF59595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0080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4F8"/>
        <bgColor indexed="64"/>
      </patternFill>
    </fill>
  </fills>
  <borders count="40">
    <border>
      <left/>
      <right/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rgb="FF000000"/>
      </top>
      <bottom/>
      <diagonal/>
    </border>
    <border>
      <left style="dotted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dotted">
        <color auto="1"/>
      </left>
      <right/>
      <top style="thin">
        <color rgb="FF000000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/>
      <bottom style="medium">
        <color rgb="FF002060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9" fontId="21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29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1" fillId="0" borderId="1" xfId="0" applyFont="1" applyBorder="1"/>
    <xf numFmtId="0" fontId="5" fillId="0" borderId="2" xfId="0" applyFont="1" applyBorder="1"/>
    <xf numFmtId="0" fontId="1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0" xfId="0" applyFont="1"/>
    <xf numFmtId="164" fontId="8" fillId="0" borderId="0" xfId="0" applyNumberFormat="1" applyFont="1" applyAlignment="1">
      <alignment horizontal="right"/>
    </xf>
    <xf numFmtId="0" fontId="7" fillId="0" borderId="2" xfId="0" applyFont="1" applyBorder="1"/>
    <xf numFmtId="164" fontId="9" fillId="0" borderId="0" xfId="0" applyNumberFormat="1" applyFont="1" applyAlignment="1">
      <alignment horizontal="right"/>
    </xf>
    <xf numFmtId="0" fontId="10" fillId="0" borderId="0" xfId="0" applyFont="1"/>
    <xf numFmtId="165" fontId="11" fillId="0" borderId="0" xfId="0" applyNumberFormat="1" applyFont="1" applyAlignment="1">
      <alignment horizontal="right"/>
    </xf>
    <xf numFmtId="0" fontId="7" fillId="0" borderId="4" xfId="0" applyFont="1" applyBorder="1"/>
    <xf numFmtId="164" fontId="9" fillId="0" borderId="4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2" fillId="0" borderId="0" xfId="0" applyFont="1"/>
    <xf numFmtId="0" fontId="13" fillId="2" borderId="0" xfId="0" applyFont="1" applyFill="1"/>
    <xf numFmtId="0" fontId="1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164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5" fillId="0" borderId="4" xfId="0" applyFont="1" applyBorder="1"/>
    <xf numFmtId="164" fontId="17" fillId="0" borderId="4" xfId="0" applyNumberFormat="1" applyFont="1" applyBorder="1" applyAlignment="1">
      <alignment horizontal="right"/>
    </xf>
    <xf numFmtId="0" fontId="5" fillId="0" borderId="6" xfId="0" applyFont="1" applyBorder="1"/>
    <xf numFmtId="0" fontId="7" fillId="0" borderId="6" xfId="0" applyFont="1" applyBorder="1"/>
    <xf numFmtId="164" fontId="17" fillId="0" borderId="6" xfId="0" applyNumberFormat="1" applyFont="1" applyBorder="1" applyAlignment="1">
      <alignment horizontal="right"/>
    </xf>
    <xf numFmtId="0" fontId="5" fillId="0" borderId="8" xfId="0" applyFont="1" applyBorder="1"/>
    <xf numFmtId="0" fontId="7" fillId="0" borderId="8" xfId="0" applyFont="1" applyBorder="1"/>
    <xf numFmtId="164" fontId="17" fillId="0" borderId="8" xfId="0" applyNumberFormat="1" applyFont="1" applyBorder="1" applyAlignment="1">
      <alignment horizontal="right"/>
    </xf>
    <xf numFmtId="0" fontId="19" fillId="0" borderId="0" xfId="0" applyFont="1"/>
    <xf numFmtId="0" fontId="19" fillId="0" borderId="2" xfId="0" applyFont="1" applyBorder="1"/>
    <xf numFmtId="164" fontId="20" fillId="0" borderId="2" xfId="0" applyNumberFormat="1" applyFont="1" applyBorder="1" applyAlignment="1">
      <alignment horizontal="right"/>
    </xf>
    <xf numFmtId="164" fontId="1" fillId="0" borderId="0" xfId="0" applyNumberFormat="1" applyFont="1"/>
    <xf numFmtId="164" fontId="7" fillId="0" borderId="0" xfId="0" applyNumberFormat="1" applyFont="1"/>
    <xf numFmtId="0" fontId="25" fillId="0" borderId="0" xfId="0" applyFont="1"/>
    <xf numFmtId="0" fontId="25" fillId="3" borderId="0" xfId="0" applyFont="1" applyFill="1"/>
    <xf numFmtId="0" fontId="26" fillId="3" borderId="0" xfId="0" applyFont="1" applyFill="1"/>
    <xf numFmtId="0" fontId="27" fillId="3" borderId="0" xfId="0" applyFont="1" applyFill="1"/>
    <xf numFmtId="0" fontId="28" fillId="3" borderId="0" xfId="0" applyFont="1" applyFill="1"/>
    <xf numFmtId="0" fontId="28" fillId="4" borderId="0" xfId="0" applyFont="1" applyFill="1"/>
    <xf numFmtId="0" fontId="25" fillId="0" borderId="2" xfId="0" applyFont="1" applyBorder="1"/>
    <xf numFmtId="0" fontId="25" fillId="0" borderId="1" xfId="0" applyFont="1" applyBorder="1"/>
    <xf numFmtId="0" fontId="25" fillId="0" borderId="3" xfId="0" applyFont="1" applyBorder="1"/>
    <xf numFmtId="0" fontId="29" fillId="0" borderId="0" xfId="0" applyFont="1"/>
    <xf numFmtId="0" fontId="25" fillId="0" borderId="11" xfId="0" applyFont="1" applyBorder="1"/>
    <xf numFmtId="9" fontId="25" fillId="0" borderId="0" xfId="1" applyFont="1"/>
    <xf numFmtId="10" fontId="25" fillId="0" borderId="0" xfId="1" applyNumberFormat="1" applyFont="1"/>
    <xf numFmtId="10" fontId="25" fillId="0" borderId="1" xfId="1" applyNumberFormat="1" applyFont="1" applyBorder="1"/>
    <xf numFmtId="0" fontId="33" fillId="3" borderId="0" xfId="0" applyFont="1" applyFill="1"/>
    <xf numFmtId="0" fontId="32" fillId="3" borderId="0" xfId="0" applyFont="1" applyFill="1"/>
    <xf numFmtId="0" fontId="23" fillId="0" borderId="2" xfId="0" applyFont="1" applyBorder="1"/>
    <xf numFmtId="0" fontId="24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7" fillId="4" borderId="0" xfId="0" applyFont="1" applyFill="1"/>
    <xf numFmtId="0" fontId="26" fillId="0" borderId="0" xfId="0" applyFont="1"/>
    <xf numFmtId="10" fontId="25" fillId="0" borderId="11" xfId="1" applyNumberFormat="1" applyFont="1" applyBorder="1"/>
    <xf numFmtId="10" fontId="25" fillId="0" borderId="12" xfId="1" applyNumberFormat="1" applyFont="1" applyBorder="1"/>
    <xf numFmtId="10" fontId="25" fillId="0" borderId="13" xfId="1" applyNumberFormat="1" applyFont="1" applyBorder="1"/>
    <xf numFmtId="164" fontId="7" fillId="0" borderId="1" xfId="0" applyNumberFormat="1" applyFont="1" applyBorder="1"/>
    <xf numFmtId="165" fontId="7" fillId="0" borderId="2" xfId="1" applyNumberFormat="1" applyFont="1" applyBorder="1"/>
    <xf numFmtId="10" fontId="7" fillId="0" borderId="2" xfId="0" applyNumberFormat="1" applyFont="1" applyBorder="1"/>
    <xf numFmtId="0" fontId="0" fillId="0" borderId="0" xfId="0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10" fontId="7" fillId="0" borderId="2" xfId="1" applyNumberFormat="1" applyFont="1" applyBorder="1"/>
    <xf numFmtId="166" fontId="7" fillId="0" borderId="0" xfId="0" applyNumberFormat="1" applyFont="1"/>
    <xf numFmtId="166" fontId="7" fillId="0" borderId="1" xfId="0" applyNumberFormat="1" applyFont="1" applyBorder="1"/>
    <xf numFmtId="0" fontId="29" fillId="0" borderId="2" xfId="0" applyFont="1" applyBorder="1"/>
    <xf numFmtId="0" fontId="25" fillId="0" borderId="2" xfId="0" applyFont="1" applyBorder="1" applyAlignment="1">
      <alignment horizontal="centerContinuous"/>
    </xf>
    <xf numFmtId="0" fontId="29" fillId="0" borderId="0" xfId="0" applyFont="1" applyAlignment="1">
      <alignment horizontal="center"/>
    </xf>
    <xf numFmtId="0" fontId="29" fillId="0" borderId="2" xfId="0" applyFont="1" applyBorder="1" applyAlignment="1">
      <alignment horizontal="centerContinuous"/>
    </xf>
    <xf numFmtId="164" fontId="25" fillId="0" borderId="0" xfId="0" applyNumberFormat="1" applyFont="1"/>
    <xf numFmtId="0" fontId="25" fillId="0" borderId="14" xfId="0" applyFont="1" applyBorder="1"/>
    <xf numFmtId="0" fontId="25" fillId="0" borderId="15" xfId="0" applyFont="1" applyBorder="1"/>
    <xf numFmtId="1" fontId="25" fillId="0" borderId="16" xfId="0" applyNumberFormat="1" applyFont="1" applyBorder="1"/>
    <xf numFmtId="0" fontId="25" fillId="0" borderId="17" xfId="0" applyFont="1" applyBorder="1"/>
    <xf numFmtId="0" fontId="25" fillId="0" borderId="18" xfId="0" applyFont="1" applyBorder="1"/>
    <xf numFmtId="164" fontId="25" fillId="0" borderId="19" xfId="0" applyNumberFormat="1" applyFont="1" applyBorder="1"/>
    <xf numFmtId="9" fontId="25" fillId="0" borderId="19" xfId="1" applyFont="1" applyBorder="1"/>
    <xf numFmtId="9" fontId="25" fillId="0" borderId="20" xfId="1" applyFont="1" applyBorder="1"/>
    <xf numFmtId="9" fontId="25" fillId="0" borderId="21" xfId="1" applyFont="1" applyBorder="1"/>
    <xf numFmtId="9" fontId="25" fillId="0" borderId="22" xfId="1" applyFont="1" applyBorder="1"/>
    <xf numFmtId="0" fontId="25" fillId="0" borderId="0" xfId="0" applyFont="1" applyAlignment="1">
      <alignment horizontal="center"/>
    </xf>
    <xf numFmtId="9" fontId="25" fillId="0" borderId="0" xfId="0" applyNumberFormat="1" applyFont="1"/>
    <xf numFmtId="164" fontId="25" fillId="0" borderId="0" xfId="1" applyNumberFormat="1" applyFont="1"/>
    <xf numFmtId="0" fontId="29" fillId="0" borderId="2" xfId="0" applyFont="1" applyBorder="1" applyAlignment="1">
      <alignment horizontal="center"/>
    </xf>
    <xf numFmtId="164" fontId="25" fillId="0" borderId="0" xfId="0" applyNumberFormat="1" applyFont="1" applyAlignment="1">
      <alignment horizontal="center"/>
    </xf>
    <xf numFmtId="0" fontId="34" fillId="0" borderId="0" xfId="0" applyFont="1" applyAlignment="1">
      <alignment vertical="top" wrapText="1"/>
    </xf>
    <xf numFmtId="0" fontId="33" fillId="4" borderId="0" xfId="0" applyFont="1" applyFill="1"/>
    <xf numFmtId="0" fontId="32" fillId="4" borderId="0" xfId="0" applyFont="1" applyFill="1"/>
    <xf numFmtId="0" fontId="25" fillId="0" borderId="2" xfId="0" applyFont="1" applyBorder="1" applyAlignment="1">
      <alignment horizontal="center"/>
    </xf>
    <xf numFmtId="164" fontId="25" fillId="0" borderId="2" xfId="1" applyNumberFormat="1" applyFont="1" applyBorder="1"/>
    <xf numFmtId="9" fontId="25" fillId="0" borderId="2" xfId="1" applyFont="1" applyBorder="1"/>
    <xf numFmtId="164" fontId="25" fillId="0" borderId="2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64" fontId="36" fillId="0" borderId="0" xfId="0" applyNumberFormat="1" applyFont="1"/>
    <xf numFmtId="164" fontId="25" fillId="0" borderId="4" xfId="0" applyNumberFormat="1" applyFont="1" applyBorder="1"/>
    <xf numFmtId="0" fontId="29" fillId="0" borderId="4" xfId="0" applyFont="1" applyBorder="1"/>
    <xf numFmtId="0" fontId="25" fillId="0" borderId="4" xfId="0" applyFont="1" applyBorder="1"/>
    <xf numFmtId="167" fontId="19" fillId="0" borderId="0" xfId="0" applyNumberFormat="1" applyFont="1"/>
    <xf numFmtId="167" fontId="19" fillId="0" borderId="1" xfId="0" applyNumberFormat="1" applyFont="1" applyBorder="1"/>
    <xf numFmtId="164" fontId="25" fillId="0" borderId="1" xfId="0" applyNumberFormat="1" applyFont="1" applyBorder="1"/>
    <xf numFmtId="164" fontId="25" fillId="0" borderId="5" xfId="0" applyNumberFormat="1" applyFont="1" applyBorder="1"/>
    <xf numFmtId="164" fontId="1" fillId="0" borderId="1" xfId="0" applyNumberFormat="1" applyFont="1" applyBorder="1"/>
    <xf numFmtId="9" fontId="25" fillId="0" borderId="16" xfId="1" applyFont="1" applyBorder="1"/>
    <xf numFmtId="164" fontId="25" fillId="0" borderId="11" xfId="0" applyNumberFormat="1" applyFont="1" applyBorder="1"/>
    <xf numFmtId="164" fontId="25" fillId="0" borderId="13" xfId="0" applyNumberFormat="1" applyFont="1" applyBorder="1"/>
    <xf numFmtId="0" fontId="25" fillId="0" borderId="20" xfId="0" applyFont="1" applyBorder="1"/>
    <xf numFmtId="0" fontId="25" fillId="0" borderId="21" xfId="0" applyFont="1" applyBorder="1"/>
    <xf numFmtId="9" fontId="25" fillId="0" borderId="22" xfId="0" applyNumberFormat="1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7" fillId="0" borderId="1" xfId="0" applyFont="1" applyBorder="1"/>
    <xf numFmtId="164" fontId="8" fillId="0" borderId="0" xfId="0" applyNumberFormat="1" applyFont="1"/>
    <xf numFmtId="164" fontId="8" fillId="0" borderId="1" xfId="0" applyNumberFormat="1" applyFont="1" applyBorder="1"/>
    <xf numFmtId="164" fontId="9" fillId="0" borderId="0" xfId="0" applyNumberFormat="1" applyFont="1"/>
    <xf numFmtId="164" fontId="9" fillId="0" borderId="1" xfId="0" applyNumberFormat="1" applyFont="1" applyBorder="1"/>
    <xf numFmtId="165" fontId="11" fillId="0" borderId="0" xfId="1" applyNumberFormat="1" applyFont="1"/>
    <xf numFmtId="165" fontId="11" fillId="0" borderId="1" xfId="1" applyNumberFormat="1" applyFont="1" applyBorder="1"/>
    <xf numFmtId="164" fontId="9" fillId="0" borderId="4" xfId="0" applyNumberFormat="1" applyFont="1" applyBorder="1"/>
    <xf numFmtId="164" fontId="9" fillId="0" borderId="5" xfId="0" applyNumberFormat="1" applyFont="1" applyBorder="1"/>
    <xf numFmtId="166" fontId="9" fillId="0" borderId="0" xfId="0" applyNumberFormat="1" applyFont="1"/>
    <xf numFmtId="166" fontId="9" fillId="0" borderId="1" xfId="0" applyNumberFormat="1" applyFont="1" applyBorder="1"/>
    <xf numFmtId="3" fontId="9" fillId="0" borderId="0" xfId="0" applyNumberFormat="1" applyFont="1"/>
    <xf numFmtId="3" fontId="9" fillId="0" borderId="1" xfId="0" applyNumberFormat="1" applyFont="1" applyBorder="1"/>
    <xf numFmtId="164" fontId="37" fillId="0" borderId="0" xfId="0" applyNumberFormat="1" applyFont="1"/>
    <xf numFmtId="164" fontId="37" fillId="0" borderId="1" xfId="0" applyNumberFormat="1" applyFont="1" applyBorder="1"/>
    <xf numFmtId="164" fontId="20" fillId="0" borderId="2" xfId="0" applyNumberFormat="1" applyFont="1" applyBorder="1"/>
    <xf numFmtId="164" fontId="20" fillId="0" borderId="3" xfId="0" applyNumberFormat="1" applyFont="1" applyBorder="1"/>
    <xf numFmtId="164" fontId="38" fillId="0" borderId="0" xfId="0" applyNumberFormat="1" applyFont="1"/>
    <xf numFmtId="164" fontId="38" fillId="0" borderId="1" xfId="0" applyNumberFormat="1" applyFont="1" applyBorder="1"/>
    <xf numFmtId="164" fontId="38" fillId="0" borderId="4" xfId="0" applyNumberFormat="1" applyFont="1" applyBorder="1"/>
    <xf numFmtId="164" fontId="38" fillId="0" borderId="5" xfId="0" applyNumberFormat="1" applyFont="1" applyBorder="1"/>
    <xf numFmtId="164" fontId="38" fillId="0" borderId="6" xfId="0" applyNumberFormat="1" applyFont="1" applyBorder="1"/>
    <xf numFmtId="164" fontId="38" fillId="0" borderId="7" xfId="0" applyNumberFormat="1" applyFont="1" applyBorder="1"/>
    <xf numFmtId="164" fontId="38" fillId="0" borderId="8" xfId="0" applyNumberFormat="1" applyFont="1" applyBorder="1"/>
    <xf numFmtId="164" fontId="38" fillId="0" borderId="9" xfId="0" applyNumberFormat="1" applyFont="1" applyBorder="1"/>
    <xf numFmtId="0" fontId="34" fillId="0" borderId="0" xfId="0" applyFont="1"/>
    <xf numFmtId="0" fontId="25" fillId="0" borderId="6" xfId="0" applyFont="1" applyBorder="1"/>
    <xf numFmtId="0" fontId="41" fillId="3" borderId="0" xfId="0" applyFont="1" applyFill="1"/>
    <xf numFmtId="0" fontId="40" fillId="3" borderId="0" xfId="0" applyFont="1" applyFill="1"/>
    <xf numFmtId="0" fontId="42" fillId="3" borderId="0" xfId="0" applyFont="1" applyFill="1"/>
    <xf numFmtId="0" fontId="37" fillId="0" borderId="0" xfId="0" applyFont="1"/>
    <xf numFmtId="0" fontId="29" fillId="0" borderId="20" xfId="0" applyFont="1" applyBorder="1"/>
    <xf numFmtId="165" fontId="29" fillId="0" borderId="22" xfId="1" applyNumberFormat="1" applyFont="1" applyBorder="1"/>
    <xf numFmtId="0" fontId="37" fillId="0" borderId="23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6" fillId="0" borderId="0" xfId="0" applyFont="1"/>
    <xf numFmtId="165" fontId="36" fillId="0" borderId="0" xfId="0" applyNumberFormat="1" applyFont="1"/>
    <xf numFmtId="165" fontId="34" fillId="0" borderId="0" xfId="0" applyNumberFormat="1" applyFont="1"/>
    <xf numFmtId="2" fontId="36" fillId="0" borderId="0" xfId="0" applyNumberFormat="1" applyFont="1"/>
    <xf numFmtId="2" fontId="34" fillId="0" borderId="0" xfId="0" applyNumberFormat="1" applyFont="1"/>
    <xf numFmtId="0" fontId="37" fillId="0" borderId="6" xfId="0" applyFont="1" applyBorder="1"/>
    <xf numFmtId="165" fontId="37" fillId="0" borderId="6" xfId="0" applyNumberFormat="1" applyFont="1" applyBorder="1"/>
    <xf numFmtId="2" fontId="37" fillId="0" borderId="6" xfId="0" applyNumberFormat="1" applyFont="1" applyBorder="1"/>
    <xf numFmtId="0" fontId="37" fillId="0" borderId="2" xfId="0" applyFont="1" applyBorder="1"/>
    <xf numFmtId="0" fontId="37" fillId="0" borderId="23" xfId="0" applyFont="1" applyBorder="1"/>
    <xf numFmtId="165" fontId="37" fillId="0" borderId="23" xfId="0" applyNumberFormat="1" applyFont="1" applyBorder="1"/>
    <xf numFmtId="2" fontId="37" fillId="0" borderId="23" xfId="0" applyNumberFormat="1" applyFont="1" applyBorder="1"/>
    <xf numFmtId="0" fontId="34" fillId="0" borderId="23" xfId="0" applyFont="1" applyBorder="1" applyAlignment="1">
      <alignment horizontal="center"/>
    </xf>
    <xf numFmtId="164" fontId="36" fillId="0" borderId="23" xfId="0" applyNumberFormat="1" applyFont="1" applyBorder="1"/>
    <xf numFmtId="165" fontId="36" fillId="0" borderId="23" xfId="0" applyNumberFormat="1" applyFont="1" applyBorder="1"/>
    <xf numFmtId="165" fontId="34" fillId="0" borderId="23" xfId="0" applyNumberFormat="1" applyFont="1" applyBorder="1"/>
    <xf numFmtId="2" fontId="36" fillId="0" borderId="23" xfId="0" applyNumberFormat="1" applyFont="1" applyBorder="1"/>
    <xf numFmtId="2" fontId="34" fillId="0" borderId="23" xfId="0" applyNumberFormat="1" applyFont="1" applyBorder="1"/>
    <xf numFmtId="0" fontId="34" fillId="0" borderId="2" xfId="0" applyFont="1" applyBorder="1"/>
    <xf numFmtId="2" fontId="25" fillId="0" borderId="0" xfId="0" applyNumberFormat="1" applyFont="1"/>
    <xf numFmtId="10" fontId="36" fillId="0" borderId="0" xfId="0" applyNumberFormat="1" applyFont="1"/>
    <xf numFmtId="165" fontId="25" fillId="0" borderId="0" xfId="0" applyNumberFormat="1" applyFont="1"/>
    <xf numFmtId="10" fontId="25" fillId="0" borderId="4" xfId="1" applyNumberFormat="1" applyFont="1" applyBorder="1"/>
    <xf numFmtId="2" fontId="25" fillId="0" borderId="22" xfId="0" applyNumberFormat="1" applyFont="1" applyBorder="1"/>
    <xf numFmtId="10" fontId="25" fillId="0" borderId="0" xfId="0" applyNumberFormat="1" applyFont="1"/>
    <xf numFmtId="10" fontId="29" fillId="0" borderId="4" xfId="0" applyNumberFormat="1" applyFont="1" applyBorder="1"/>
    <xf numFmtId="9" fontId="36" fillId="0" borderId="0" xfId="0" applyNumberFormat="1" applyFont="1"/>
    <xf numFmtId="165" fontId="25" fillId="0" borderId="0" xfId="0" applyNumberFormat="1" applyFont="1" applyAlignment="1">
      <alignment horizontal="center"/>
    </xf>
    <xf numFmtId="10" fontId="25" fillId="0" borderId="0" xfId="0" applyNumberFormat="1" applyFont="1" applyAlignment="1">
      <alignment horizontal="center"/>
    </xf>
    <xf numFmtId="165" fontId="25" fillId="0" borderId="0" xfId="1" applyNumberFormat="1" applyFont="1" applyAlignment="1">
      <alignment horizontal="center"/>
    </xf>
    <xf numFmtId="165" fontId="36" fillId="0" borderId="0" xfId="1" applyNumberFormat="1" applyFont="1" applyAlignment="1">
      <alignment horizontal="center"/>
    </xf>
    <xf numFmtId="165" fontId="25" fillId="0" borderId="4" xfId="0" applyNumberFormat="1" applyFont="1" applyBorder="1" applyAlignment="1">
      <alignment horizontal="center"/>
    </xf>
    <xf numFmtId="10" fontId="29" fillId="0" borderId="4" xfId="1" applyNumberFormat="1" applyFont="1" applyBorder="1" applyAlignment="1">
      <alignment horizontal="center"/>
    </xf>
    <xf numFmtId="164" fontId="29" fillId="0" borderId="4" xfId="0" applyNumberFormat="1" applyFont="1" applyBorder="1"/>
    <xf numFmtId="164" fontId="29" fillId="0" borderId="5" xfId="0" applyNumberFormat="1" applyFont="1" applyBorder="1"/>
    <xf numFmtId="0" fontId="43" fillId="0" borderId="0" xfId="0" applyFont="1"/>
    <xf numFmtId="168" fontId="25" fillId="0" borderId="0" xfId="0" applyNumberFormat="1" applyFont="1"/>
    <xf numFmtId="3" fontId="25" fillId="0" borderId="0" xfId="0" applyNumberFormat="1" applyFont="1"/>
    <xf numFmtId="169" fontId="25" fillId="0" borderId="0" xfId="0" applyNumberFormat="1" applyFont="1"/>
    <xf numFmtId="0" fontId="25" fillId="0" borderId="10" xfId="0" applyFont="1" applyBorder="1"/>
    <xf numFmtId="0" fontId="29" fillId="0" borderId="6" xfId="0" applyFont="1" applyBorder="1"/>
    <xf numFmtId="164" fontId="25" fillId="0" borderId="6" xfId="0" applyNumberFormat="1" applyFont="1" applyBorder="1"/>
    <xf numFmtId="2" fontId="36" fillId="0" borderId="19" xfId="0" applyNumberFormat="1" applyFont="1" applyBorder="1"/>
    <xf numFmtId="0" fontId="5" fillId="0" borderId="0" xfId="0" applyFont="1" applyAlignment="1">
      <alignment horizontal="center"/>
    </xf>
    <xf numFmtId="10" fontId="44" fillId="0" borderId="24" xfId="0" applyNumberFormat="1" applyFont="1" applyBorder="1"/>
    <xf numFmtId="0" fontId="45" fillId="0" borderId="0" xfId="0" applyFont="1"/>
    <xf numFmtId="0" fontId="25" fillId="0" borderId="0" xfId="0" applyFont="1" applyAlignment="1">
      <alignment horizontal="right"/>
    </xf>
    <xf numFmtId="170" fontId="25" fillId="0" borderId="0" xfId="0" applyNumberFormat="1" applyFont="1" applyAlignment="1">
      <alignment horizontal="center"/>
    </xf>
    <xf numFmtId="170" fontId="25" fillId="0" borderId="23" xfId="0" applyNumberFormat="1" applyFont="1" applyBorder="1" applyAlignment="1">
      <alignment horizontal="center"/>
    </xf>
    <xf numFmtId="0" fontId="29" fillId="0" borderId="30" xfId="0" applyFont="1" applyBorder="1" applyAlignment="1">
      <alignment horizontal="center"/>
    </xf>
    <xf numFmtId="0" fontId="45" fillId="0" borderId="25" xfId="0" applyFont="1" applyBorder="1" applyAlignment="1">
      <alignment horizontal="center"/>
    </xf>
    <xf numFmtId="170" fontId="25" fillId="0" borderId="25" xfId="0" applyNumberFormat="1" applyFont="1" applyBorder="1" applyAlignment="1">
      <alignment horizontal="center"/>
    </xf>
    <xf numFmtId="170" fontId="25" fillId="0" borderId="30" xfId="0" applyNumberFormat="1" applyFont="1" applyBorder="1" applyAlignment="1">
      <alignment horizontal="center"/>
    </xf>
    <xf numFmtId="0" fontId="29" fillId="0" borderId="31" xfId="0" applyFont="1" applyBorder="1" applyAlignment="1">
      <alignment horizontal="center"/>
    </xf>
    <xf numFmtId="0" fontId="45" fillId="0" borderId="26" xfId="0" applyFont="1" applyBorder="1" applyAlignment="1">
      <alignment horizontal="center"/>
    </xf>
    <xf numFmtId="170" fontId="25" fillId="0" borderId="26" xfId="0" applyNumberFormat="1" applyFont="1" applyBorder="1" applyAlignment="1">
      <alignment horizontal="center"/>
    </xf>
    <xf numFmtId="170" fontId="25" fillId="0" borderId="31" xfId="0" applyNumberFormat="1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168" fontId="36" fillId="0" borderId="0" xfId="0" applyNumberFormat="1" applyFont="1"/>
    <xf numFmtId="166" fontId="25" fillId="0" borderId="0" xfId="0" applyNumberFormat="1" applyFont="1"/>
    <xf numFmtId="166" fontId="36" fillId="0" borderId="0" xfId="0" applyNumberFormat="1" applyFont="1"/>
    <xf numFmtId="168" fontId="25" fillId="0" borderId="2" xfId="0" applyNumberFormat="1" applyFont="1" applyBorder="1"/>
    <xf numFmtId="164" fontId="25" fillId="0" borderId="33" xfId="0" applyNumberFormat="1" applyFont="1" applyBorder="1"/>
    <xf numFmtId="164" fontId="25" fillId="0" borderId="32" xfId="0" applyNumberFormat="1" applyFont="1" applyBorder="1"/>
    <xf numFmtId="168" fontId="44" fillId="0" borderId="16" xfId="0" applyNumberFormat="1" applyFont="1" applyBorder="1"/>
    <xf numFmtId="165" fontId="25" fillId="0" borderId="33" xfId="0" applyNumberFormat="1" applyFont="1" applyBorder="1"/>
    <xf numFmtId="165" fontId="25" fillId="0" borderId="32" xfId="0" applyNumberFormat="1" applyFont="1" applyBorder="1"/>
    <xf numFmtId="166" fontId="25" fillId="0" borderId="33" xfId="0" applyNumberFormat="1" applyFont="1" applyBorder="1"/>
    <xf numFmtId="166" fontId="25" fillId="0" borderId="32" xfId="0" applyNumberFormat="1" applyFont="1" applyBorder="1"/>
    <xf numFmtId="171" fontId="25" fillId="0" borderId="0" xfId="0" applyNumberFormat="1" applyFont="1"/>
    <xf numFmtId="0" fontId="46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8" fillId="0" borderId="34" xfId="0" applyFont="1" applyBorder="1"/>
    <xf numFmtId="0" fontId="25" fillId="0" borderId="34" xfId="0" applyFont="1" applyBorder="1"/>
    <xf numFmtId="0" fontId="50" fillId="0" borderId="36" xfId="0" applyFont="1" applyBorder="1" applyAlignment="1">
      <alignment horizontal="center" vertical="center"/>
    </xf>
    <xf numFmtId="0" fontId="49" fillId="0" borderId="35" xfId="2" applyFont="1" applyBorder="1" applyAlignment="1">
      <alignment vertical="center"/>
    </xf>
    <xf numFmtId="0" fontId="25" fillId="0" borderId="35" xfId="0" applyFont="1" applyBorder="1" applyAlignment="1">
      <alignment vertical="center"/>
    </xf>
    <xf numFmtId="0" fontId="51" fillId="0" borderId="35" xfId="0" applyFont="1" applyBorder="1" applyAlignment="1">
      <alignment vertical="center"/>
    </xf>
    <xf numFmtId="0" fontId="25" fillId="0" borderId="37" xfId="0" applyFont="1" applyBorder="1" applyAlignment="1">
      <alignment vertical="center"/>
    </xf>
    <xf numFmtId="0" fontId="50" fillId="5" borderId="36" xfId="0" applyFont="1" applyFill="1" applyBorder="1" applyAlignment="1">
      <alignment horizontal="center" vertical="center"/>
    </xf>
    <xf numFmtId="0" fontId="49" fillId="5" borderId="35" xfId="2" applyFont="1" applyFill="1" applyBorder="1" applyAlignment="1">
      <alignment vertical="center"/>
    </xf>
    <xf numFmtId="0" fontId="25" fillId="5" borderId="35" xfId="0" applyFont="1" applyFill="1" applyBorder="1" applyAlignment="1">
      <alignment vertical="center"/>
    </xf>
    <xf numFmtId="0" fontId="51" fillId="5" borderId="35" xfId="0" applyFont="1" applyFill="1" applyBorder="1" applyAlignment="1">
      <alignment vertical="center"/>
    </xf>
    <xf numFmtId="0" fontId="25" fillId="5" borderId="37" xfId="0" applyFont="1" applyFill="1" applyBorder="1" applyAlignment="1">
      <alignment vertical="center"/>
    </xf>
    <xf numFmtId="0" fontId="52" fillId="0" borderId="0" xfId="0" applyFont="1"/>
    <xf numFmtId="0" fontId="53" fillId="0" borderId="0" xfId="0" applyFont="1"/>
    <xf numFmtId="0" fontId="25" fillId="4" borderId="0" xfId="0" applyFont="1" applyFill="1"/>
    <xf numFmtId="0" fontId="25" fillId="0" borderId="7" xfId="0" applyFont="1" applyBorder="1"/>
    <xf numFmtId="0" fontId="5" fillId="0" borderId="1" xfId="0" applyFont="1" applyBorder="1" applyAlignment="1">
      <alignment horizontal="center"/>
    </xf>
    <xf numFmtId="164" fontId="25" fillId="0" borderId="7" xfId="0" applyNumberFormat="1" applyFont="1" applyBorder="1"/>
    <xf numFmtId="165" fontId="25" fillId="0" borderId="1" xfId="0" applyNumberFormat="1" applyFont="1" applyBorder="1"/>
    <xf numFmtId="2" fontId="25" fillId="0" borderId="1" xfId="0" applyNumberFormat="1" applyFont="1" applyBorder="1"/>
    <xf numFmtId="164" fontId="29" fillId="0" borderId="22" xfId="0" applyNumberFormat="1" applyFont="1" applyBorder="1"/>
    <xf numFmtId="166" fontId="25" fillId="0" borderId="4" xfId="0" applyNumberFormat="1" applyFont="1" applyBorder="1"/>
    <xf numFmtId="164" fontId="25" fillId="0" borderId="29" xfId="0" applyNumberFormat="1" applyFont="1" applyBorder="1"/>
    <xf numFmtId="166" fontId="25" fillId="0" borderId="29" xfId="0" applyNumberFormat="1" applyFont="1" applyBorder="1"/>
    <xf numFmtId="165" fontId="25" fillId="0" borderId="29" xfId="0" applyNumberFormat="1" applyFont="1" applyBorder="1"/>
    <xf numFmtId="164" fontId="26" fillId="0" borderId="0" xfId="0" applyNumberFormat="1" applyFont="1"/>
    <xf numFmtId="0" fontId="25" fillId="0" borderId="21" xfId="0" applyFont="1" applyBorder="1" applyAlignment="1">
      <alignment horizontal="center"/>
    </xf>
    <xf numFmtId="164" fontId="25" fillId="0" borderId="21" xfId="0" applyNumberFormat="1" applyFont="1" applyBorder="1"/>
    <xf numFmtId="166" fontId="25" fillId="0" borderId="22" xfId="0" applyNumberFormat="1" applyFont="1" applyBorder="1"/>
    <xf numFmtId="164" fontId="26" fillId="0" borderId="2" xfId="0" applyNumberFormat="1" applyFont="1" applyBorder="1"/>
    <xf numFmtId="164" fontId="25" fillId="0" borderId="2" xfId="0" applyNumberFormat="1" applyFont="1" applyBorder="1"/>
    <xf numFmtId="169" fontId="25" fillId="0" borderId="2" xfId="0" applyNumberFormat="1" applyFont="1" applyBorder="1"/>
    <xf numFmtId="164" fontId="25" fillId="0" borderId="38" xfId="0" applyNumberFormat="1" applyFont="1" applyBorder="1"/>
    <xf numFmtId="0" fontId="43" fillId="0" borderId="10" xfId="0" applyFont="1" applyBorder="1"/>
    <xf numFmtId="164" fontId="54" fillId="0" borderId="0" xfId="0" applyNumberFormat="1" applyFont="1"/>
    <xf numFmtId="164" fontId="54" fillId="0" borderId="1" xfId="0" applyNumberFormat="1" applyFont="1" applyBorder="1"/>
    <xf numFmtId="0" fontId="50" fillId="0" borderId="0" xfId="0" applyFont="1"/>
    <xf numFmtId="0" fontId="29" fillId="0" borderId="39" xfId="0" applyFont="1" applyBorder="1" applyAlignment="1">
      <alignment horizontal="center" vertical="center"/>
    </xf>
    <xf numFmtId="0" fontId="55" fillId="0" borderId="0" xfId="0" applyFont="1"/>
    <xf numFmtId="0" fontId="29" fillId="0" borderId="0" xfId="0" applyFont="1" applyAlignment="1">
      <alignment horizontal="center" vertical="center" textRotation="90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37" fillId="0" borderId="6" xfId="0" applyFont="1" applyBorder="1" applyAlignment="1">
      <alignment vertical="top" wrapText="1"/>
    </xf>
    <xf numFmtId="0" fontId="34" fillId="0" borderId="6" xfId="0" applyFont="1" applyBorder="1" applyAlignment="1">
      <alignment vertical="top" wrapText="1"/>
    </xf>
    <xf numFmtId="0" fontId="37" fillId="0" borderId="28" xfId="0" applyFont="1" applyBorder="1" applyAlignment="1">
      <alignment vertical="top" wrapText="1"/>
    </xf>
    <xf numFmtId="0" fontId="34" fillId="0" borderId="28" xfId="0" applyFont="1" applyBorder="1" applyAlignment="1">
      <alignment vertical="top" wrapText="1"/>
    </xf>
    <xf numFmtId="0" fontId="37" fillId="0" borderId="27" xfId="0" applyFont="1" applyBorder="1" applyAlignment="1">
      <alignment vertical="top" wrapText="1"/>
    </xf>
    <xf numFmtId="0" fontId="34" fillId="0" borderId="27" xfId="0" applyFont="1" applyBorder="1" applyAlignment="1">
      <alignment vertical="top" wrapText="1"/>
    </xf>
    <xf numFmtId="0" fontId="37" fillId="0" borderId="0" xfId="0" applyFont="1"/>
    <xf numFmtId="0" fontId="37" fillId="0" borderId="0" xfId="0" applyFont="1" applyAlignment="1">
      <alignment vertical="top" wrapText="1"/>
    </xf>
    <xf numFmtId="0" fontId="29" fillId="0" borderId="6" xfId="0" applyFont="1" applyBorder="1" applyAlignment="1">
      <alignment vertical="top" wrapText="1"/>
    </xf>
    <xf numFmtId="0" fontId="25" fillId="0" borderId="6" xfId="0" applyFont="1" applyBorder="1" applyAlignment="1">
      <alignment vertical="top" wrapText="1"/>
    </xf>
    <xf numFmtId="0" fontId="29" fillId="0" borderId="28" xfId="0" applyFont="1" applyBorder="1" applyAlignment="1">
      <alignment vertical="top" wrapText="1"/>
    </xf>
    <xf numFmtId="0" fontId="25" fillId="0" borderId="28" xfId="0" applyFont="1" applyBorder="1" applyAlignment="1">
      <alignment vertical="top" wrapText="1"/>
    </xf>
    <xf numFmtId="0" fontId="29" fillId="0" borderId="0" xfId="0" applyFont="1"/>
    <xf numFmtId="0" fontId="37" fillId="0" borderId="6" xfId="0" applyFont="1" applyBorder="1" applyAlignment="1">
      <alignment horizontal="right"/>
    </xf>
    <xf numFmtId="0" fontId="37" fillId="0" borderId="23" xfId="0" applyFont="1" applyBorder="1" applyAlignment="1">
      <alignment horizontal="right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34" fillId="0" borderId="0" xfId="0" applyFont="1"/>
    <xf numFmtId="0" fontId="34" fillId="0" borderId="23" xfId="0" applyFont="1" applyBorder="1" applyAlignment="1">
      <alignment horizontal="left"/>
    </xf>
    <xf numFmtId="0" fontId="34" fillId="0" borderId="23" xfId="0" applyFont="1" applyBorder="1"/>
    <xf numFmtId="0" fontId="29" fillId="0" borderId="23" xfId="0" applyFont="1" applyBorder="1" applyAlignment="1">
      <alignment horizontal="center"/>
    </xf>
    <xf numFmtId="0" fontId="45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2"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6" fmlaLink="$D$4" fmlaRange="$B$10:$B$12" noThreeD="1" sel="2" val="0"/>
</file>

<file path=xl/ctrlProps/ctrlProp2.xml><?xml version="1.0" encoding="utf-8"?>
<formControlPr xmlns="http://schemas.microsoft.com/office/spreadsheetml/2009/9/main" objectType="Drop" dropStyle="combo" dx="26" fmlaLink="Output!$D$4" fmlaRange="$B$9:$B$11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655320</xdr:colOff>
          <xdr:row>3</xdr:row>
          <xdr:rowOff>7620</xdr:rowOff>
        </xdr:from>
        <xdr:to>
          <xdr:col>4</xdr:col>
          <xdr:colOff>7620</xdr:colOff>
          <xdr:row>3</xdr:row>
          <xdr:rowOff>213360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83820</xdr:rowOff>
        </xdr:from>
        <xdr:to>
          <xdr:col>2</xdr:col>
          <xdr:colOff>289560</xdr:colOff>
          <xdr:row>4</xdr:row>
          <xdr:rowOff>60960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E59FC75-1F6C-4E4D-9A3A-E6DB5DB57832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86d6a3b9-05d3-48da-9ee4-f976a65efe5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5E3E-A543-48BB-8FE7-BE5DB23AD268}">
  <sheetPr>
    <tabColor rgb="FF002060"/>
    <pageSetUpPr fitToPage="1"/>
  </sheetPr>
  <dimension ref="B3:K23"/>
  <sheetViews>
    <sheetView showGridLines="0" tabSelected="1" workbookViewId="0">
      <selection activeCell="B23" sqref="B23"/>
    </sheetView>
  </sheetViews>
  <sheetFormatPr defaultRowHeight="15.6" x14ac:dyDescent="0.3"/>
  <cols>
    <col min="1" max="1" width="3.6640625" style="41" customWidth="1"/>
    <col min="2" max="2" width="5.88671875" style="41" customWidth="1"/>
    <col min="3" max="3" width="28.109375" style="41" customWidth="1"/>
    <col min="4" max="4" width="3" style="41" customWidth="1"/>
    <col min="5" max="16384" width="8.88671875" style="41"/>
  </cols>
  <sheetData>
    <row r="3" spans="2:11" ht="42" customHeight="1" x14ac:dyDescent="0.3">
      <c r="B3" s="223" t="s">
        <v>328</v>
      </c>
      <c r="C3" s="224"/>
      <c r="D3" s="224"/>
      <c r="E3" s="224"/>
      <c r="F3" s="224"/>
      <c r="G3" s="224"/>
      <c r="H3" s="224"/>
      <c r="I3" s="224"/>
      <c r="J3" s="42"/>
      <c r="K3" s="42"/>
    </row>
    <row r="4" spans="2:11" ht="22.05" customHeight="1" x14ac:dyDescent="0.3">
      <c r="B4" s="225" t="s">
        <v>329</v>
      </c>
      <c r="C4" s="224"/>
      <c r="D4" s="224"/>
      <c r="E4" s="224"/>
      <c r="F4" s="224"/>
      <c r="G4" s="224"/>
      <c r="H4" s="224"/>
      <c r="I4" s="224"/>
      <c r="J4" s="42"/>
      <c r="K4" s="42"/>
    </row>
    <row r="5" spans="2:11" ht="7.95" customHeight="1" x14ac:dyDescent="0.3">
      <c r="B5" s="224"/>
      <c r="C5" s="224"/>
      <c r="D5" s="224"/>
      <c r="E5" s="224"/>
      <c r="F5" s="224"/>
      <c r="G5" s="224"/>
      <c r="H5" s="224"/>
      <c r="I5" s="224"/>
      <c r="J5" s="42"/>
      <c r="K5" s="42"/>
    </row>
    <row r="7" spans="2:11" ht="24" customHeight="1" thickBot="1" x14ac:dyDescent="0.4">
      <c r="B7" s="226" t="s">
        <v>330</v>
      </c>
      <c r="C7" s="227"/>
      <c r="D7" s="227"/>
      <c r="E7" s="227"/>
      <c r="F7" s="227"/>
      <c r="G7" s="227"/>
      <c r="H7" s="227"/>
      <c r="I7" s="227"/>
    </row>
    <row r="8" spans="2:11" x14ac:dyDescent="0.3">
      <c r="B8" s="36" t="s">
        <v>344</v>
      </c>
    </row>
    <row r="10" spans="2:11" x14ac:dyDescent="0.3">
      <c r="B10" s="41" t="s">
        <v>331</v>
      </c>
    </row>
    <row r="11" spans="2:11" x14ac:dyDescent="0.3">
      <c r="B11" s="188" t="s">
        <v>332</v>
      </c>
    </row>
    <row r="13" spans="2:11" ht="20.399999999999999" x14ac:dyDescent="0.35">
      <c r="B13" s="147" t="s">
        <v>333</v>
      </c>
      <c r="C13" s="42"/>
      <c r="D13" s="42"/>
      <c r="E13" s="42"/>
      <c r="F13" s="42"/>
      <c r="G13" s="42"/>
      <c r="H13" s="42"/>
      <c r="I13" s="42"/>
      <c r="J13" s="42"/>
      <c r="K13" s="42"/>
    </row>
    <row r="15" spans="2:11" ht="25.95" customHeight="1" x14ac:dyDescent="0.3">
      <c r="B15" s="228">
        <v>1</v>
      </c>
      <c r="C15" s="229" t="s">
        <v>334</v>
      </c>
      <c r="D15" s="230"/>
      <c r="E15" s="231" t="s">
        <v>335</v>
      </c>
      <c r="F15" s="230"/>
      <c r="G15" s="230"/>
      <c r="H15" s="230"/>
      <c r="I15" s="230"/>
      <c r="J15" s="230"/>
      <c r="K15" s="232"/>
    </row>
    <row r="16" spans="2:11" ht="25.95" customHeight="1" x14ac:dyDescent="0.3">
      <c r="B16" s="233">
        <v>2</v>
      </c>
      <c r="C16" s="234" t="s">
        <v>113</v>
      </c>
      <c r="D16" s="235"/>
      <c r="E16" s="236" t="s">
        <v>336</v>
      </c>
      <c r="F16" s="235"/>
      <c r="G16" s="235"/>
      <c r="H16" s="235"/>
      <c r="I16" s="235"/>
      <c r="J16" s="235"/>
      <c r="K16" s="237"/>
    </row>
    <row r="17" spans="2:11" ht="25.95" customHeight="1" x14ac:dyDescent="0.3">
      <c r="B17" s="228">
        <v>3</v>
      </c>
      <c r="C17" s="229" t="s">
        <v>337</v>
      </c>
      <c r="D17" s="230"/>
      <c r="E17" s="231" t="s">
        <v>338</v>
      </c>
      <c r="F17" s="230"/>
      <c r="G17" s="230"/>
      <c r="H17" s="230"/>
      <c r="I17" s="230"/>
      <c r="J17" s="230"/>
      <c r="K17" s="232"/>
    </row>
    <row r="18" spans="2:11" ht="25.95" customHeight="1" x14ac:dyDescent="0.3">
      <c r="B18" s="233">
        <v>4</v>
      </c>
      <c r="C18" s="234" t="s">
        <v>339</v>
      </c>
      <c r="D18" s="235"/>
      <c r="E18" s="236" t="s">
        <v>340</v>
      </c>
      <c r="F18" s="235"/>
      <c r="G18" s="235"/>
      <c r="H18" s="235"/>
      <c r="I18" s="235"/>
      <c r="J18" s="235"/>
      <c r="K18" s="237"/>
    </row>
    <row r="19" spans="2:11" ht="25.95" customHeight="1" x14ac:dyDescent="0.3">
      <c r="B19" s="228">
        <v>5</v>
      </c>
      <c r="C19" s="229" t="s">
        <v>298</v>
      </c>
      <c r="D19" s="230"/>
      <c r="E19" s="231" t="s">
        <v>341</v>
      </c>
      <c r="F19" s="230"/>
      <c r="G19" s="230"/>
      <c r="H19" s="230"/>
      <c r="I19" s="230"/>
      <c r="J19" s="230"/>
      <c r="K19" s="232"/>
    </row>
    <row r="20" spans="2:11" ht="25.95" customHeight="1" x14ac:dyDescent="0.3">
      <c r="B20" s="233">
        <v>6</v>
      </c>
      <c r="C20" s="234" t="s">
        <v>342</v>
      </c>
      <c r="D20" s="235"/>
      <c r="E20" s="236" t="s">
        <v>343</v>
      </c>
      <c r="F20" s="235"/>
      <c r="G20" s="235"/>
      <c r="H20" s="235"/>
      <c r="I20" s="235"/>
      <c r="J20" s="235"/>
      <c r="K20" s="237"/>
    </row>
    <row r="23" spans="2:11" x14ac:dyDescent="0.3">
      <c r="B23" s="238"/>
    </row>
  </sheetData>
  <hyperlinks>
    <hyperlink ref="C15" location="Output!A1" display="Output" xr:uid="{B6186B98-5977-496C-A0BC-1424FAD33D6B}"/>
    <hyperlink ref="C16" location="'Key Drivers'!A1" display="Key Drivers" xr:uid="{AE622E96-4C40-4361-9858-C29D44C8DDCE}"/>
    <hyperlink ref="C17" location="'Financial Statements'!A1" display="Financial Statements" xr:uid="{A40B10F3-3BC9-4249-A0D2-4741CFFF86A9}"/>
    <hyperlink ref="C18" location="Schedules!A1" display="Schedules" xr:uid="{22BF17FD-97B3-4E25-AF96-6885B666CE93}"/>
    <hyperlink ref="C19" location="WACC!A1" display="WACC" xr:uid="{AC15D891-9049-4312-9EE4-DFDC541C9CBF}"/>
    <hyperlink ref="C20" location="Model!A1" display="Model" xr:uid="{B410F461-7C54-40FE-A1AB-9179EC1E03F8}"/>
  </hyperlinks>
  <printOptions horizontalCentered="1"/>
  <pageMargins left="0.7" right="0.7" top="0.75" bottom="0.75" header="0.3" footer="0.3"/>
  <pageSetup scale="83" orientation="portrait" r:id="rId1"/>
  <headerFooter>
    <oddFooter>&amp;LApple Inc. — DCF Valuation&amp;C&amp;A&amp;RPage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B509-7289-497E-AB55-4E02A5637C13}">
  <sheetPr>
    <tabColor rgb="FF002060"/>
    <pageSetUpPr fitToPage="1"/>
  </sheetPr>
  <dimension ref="B2:P36"/>
  <sheetViews>
    <sheetView showGridLines="0" topLeftCell="A7" workbookViewId="0">
      <selection activeCell="D27" sqref="D27"/>
    </sheetView>
  </sheetViews>
  <sheetFormatPr defaultRowHeight="15.6" x14ac:dyDescent="0.3"/>
  <cols>
    <col min="1" max="1" width="8.88671875" style="41"/>
    <col min="2" max="2" width="16.6640625" style="41" customWidth="1"/>
    <col min="3" max="3" width="9.6640625" style="41" customWidth="1"/>
    <col min="4" max="8" width="11.109375" style="41" customWidth="1"/>
    <col min="9" max="9" width="8.88671875" style="41"/>
    <col min="10" max="10" width="17.5546875" style="41" customWidth="1"/>
    <col min="11" max="11" width="9.6640625" style="41" customWidth="1"/>
    <col min="12" max="16" width="11.109375" style="41" customWidth="1"/>
    <col min="17" max="16384" width="8.88671875" style="41"/>
  </cols>
  <sheetData>
    <row r="2" spans="2:16" ht="20.399999999999999" x14ac:dyDescent="0.35">
      <c r="B2" s="147" t="s">
        <v>327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2:16" ht="16.2" thickBot="1" x14ac:dyDescent="0.35">
      <c r="B3" s="239" t="s">
        <v>332</v>
      </c>
    </row>
    <row r="4" spans="2:16" ht="18" customHeight="1" thickBot="1" x14ac:dyDescent="0.35">
      <c r="B4" s="41" t="s">
        <v>320</v>
      </c>
      <c r="D4" s="41">
        <v>2</v>
      </c>
      <c r="E4" s="153"/>
      <c r="F4" s="262" t="s">
        <v>355</v>
      </c>
      <c r="H4" s="263" t="s">
        <v>356</v>
      </c>
      <c r="L4" s="188"/>
    </row>
    <row r="5" spans="2:16" x14ac:dyDescent="0.3">
      <c r="B5"/>
      <c r="C5"/>
      <c r="D5"/>
      <c r="E5"/>
      <c r="F5" s="264" t="s">
        <v>357</v>
      </c>
    </row>
    <row r="6" spans="2:16" x14ac:dyDescent="0.3">
      <c r="B6" s="73" t="s">
        <v>321</v>
      </c>
      <c r="C6" s="47"/>
      <c r="D6" s="47"/>
      <c r="E6" s="47"/>
      <c r="F6" s="47"/>
      <c r="J6" s="73" t="s">
        <v>322</v>
      </c>
      <c r="K6" s="47"/>
      <c r="L6" s="47"/>
    </row>
    <row r="8" spans="2:16" ht="31.95" customHeight="1" x14ac:dyDescent="0.3">
      <c r="D8" s="210" t="s">
        <v>308</v>
      </c>
      <c r="E8" s="210" t="s">
        <v>310</v>
      </c>
      <c r="F8" s="210" t="s">
        <v>323</v>
      </c>
      <c r="J8" s="41" t="s">
        <v>297</v>
      </c>
      <c r="L8" s="211">
        <v>20</v>
      </c>
      <c r="N8" s="189"/>
    </row>
    <row r="9" spans="2:16" x14ac:dyDescent="0.3">
      <c r="D9" s="255">
        <f ca="1">Model!E53</f>
        <v>2837942.3654400897</v>
      </c>
      <c r="E9" s="256"/>
      <c r="F9" s="257"/>
      <c r="J9" s="41" t="s">
        <v>298</v>
      </c>
      <c r="L9" s="177">
        <f>WACC!F55</f>
        <v>0.10031733107910878</v>
      </c>
      <c r="N9" s="174"/>
    </row>
    <row r="10" spans="2:16" x14ac:dyDescent="0.3">
      <c r="B10" s="41" t="s">
        <v>114</v>
      </c>
      <c r="C10" s="88">
        <v>1</v>
      </c>
      <c r="D10" s="215">
        <f t="dataTable" ref="D10:D12" dt2D="0" dtr="0" r1="D4" ca="1"/>
        <v>3132635.4758295645</v>
      </c>
      <c r="E10" s="77">
        <f t="shared" ref="E10:E12" si="0">D10-$L$10</f>
        <v>3166398.4758295645</v>
      </c>
      <c r="F10" s="212">
        <f>E10/$L$11</f>
        <v>211.82756728857134</v>
      </c>
      <c r="J10" s="41" t="s">
        <v>324</v>
      </c>
      <c r="L10" s="77">
        <f>'Financial Statements'!P175+'Financial Statements'!P183+'Financial Statements'!P189-'Financial Statements'!P145-18763-77723</f>
        <v>-33763</v>
      </c>
      <c r="M10" s="198"/>
      <c r="N10" s="77"/>
    </row>
    <row r="11" spans="2:16" x14ac:dyDescent="0.3">
      <c r="B11" s="113" t="s">
        <v>115</v>
      </c>
      <c r="C11" s="252">
        <v>2</v>
      </c>
      <c r="D11" s="258">
        <v>2837942.3654608633</v>
      </c>
      <c r="E11" s="253">
        <f t="shared" si="0"/>
        <v>2871705.3654608633</v>
      </c>
      <c r="F11" s="254">
        <f t="shared" ref="F11:F12" si="1">E11/$L$11</f>
        <v>192.11301615338931</v>
      </c>
      <c r="J11" s="41" t="s">
        <v>311</v>
      </c>
      <c r="L11" s="190">
        <f>'Financial Statements'!P67</f>
        <v>14948</v>
      </c>
      <c r="M11" s="198"/>
      <c r="N11" s="190"/>
    </row>
    <row r="12" spans="2:16" x14ac:dyDescent="0.3">
      <c r="B12" s="41" t="s">
        <v>116</v>
      </c>
      <c r="C12" s="88">
        <v>3</v>
      </c>
      <c r="D12" s="216">
        <v>2474857.0791514972</v>
      </c>
      <c r="E12" s="77">
        <f t="shared" si="0"/>
        <v>2508620.0791514972</v>
      </c>
      <c r="F12" s="212">
        <f t="shared" si="1"/>
        <v>167.82312544497574</v>
      </c>
      <c r="J12" s="41" t="s">
        <v>325</v>
      </c>
      <c r="L12" s="213">
        <v>289.36</v>
      </c>
      <c r="M12" s="198"/>
      <c r="N12" s="191"/>
    </row>
    <row r="13" spans="2:16" x14ac:dyDescent="0.3">
      <c r="L13" s="222"/>
    </row>
    <row r="15" spans="2:16" x14ac:dyDescent="0.3">
      <c r="B15" s="73" t="s">
        <v>308</v>
      </c>
      <c r="C15" s="47"/>
      <c r="D15" s="47"/>
      <c r="E15" s="47"/>
      <c r="F15" s="47"/>
      <c r="G15" s="47"/>
      <c r="H15" s="47"/>
      <c r="J15" s="73" t="s">
        <v>312</v>
      </c>
      <c r="K15" s="47"/>
      <c r="L15" s="47"/>
      <c r="M15" s="47"/>
      <c r="N15" s="47"/>
      <c r="O15" s="47"/>
      <c r="P15" s="47"/>
    </row>
    <row r="16" spans="2:16" x14ac:dyDescent="0.3">
      <c r="D16" s="266" t="s">
        <v>297</v>
      </c>
      <c r="E16" s="266"/>
      <c r="F16" s="266"/>
      <c r="G16" s="266"/>
      <c r="H16" s="266"/>
      <c r="L16" s="266" t="s">
        <v>297</v>
      </c>
      <c r="M16" s="266"/>
      <c r="N16" s="266"/>
      <c r="O16" s="266"/>
      <c r="P16" s="266"/>
    </row>
    <row r="17" spans="2:16" x14ac:dyDescent="0.3">
      <c r="C17" s="251">
        <f ca="1">Model!E53</f>
        <v>2837942.3654400897</v>
      </c>
      <c r="D17" s="214">
        <v>18</v>
      </c>
      <c r="E17" s="214">
        <f>D17+1</f>
        <v>19</v>
      </c>
      <c r="F17" s="214">
        <f t="shared" ref="F17:H17" si="2">E17+1</f>
        <v>20</v>
      </c>
      <c r="G17" s="214">
        <f t="shared" si="2"/>
        <v>21</v>
      </c>
      <c r="H17" s="214">
        <f t="shared" si="2"/>
        <v>22</v>
      </c>
      <c r="K17" s="191"/>
      <c r="L17" s="214">
        <f>D17</f>
        <v>18</v>
      </c>
      <c r="M17" s="214">
        <f t="shared" ref="M17:P17" si="3">E17</f>
        <v>19</v>
      </c>
      <c r="N17" s="214">
        <f t="shared" si="3"/>
        <v>20</v>
      </c>
      <c r="O17" s="214">
        <f t="shared" si="3"/>
        <v>21</v>
      </c>
      <c r="P17" s="214">
        <f t="shared" si="3"/>
        <v>22</v>
      </c>
    </row>
    <row r="18" spans="2:16" x14ac:dyDescent="0.3">
      <c r="B18" s="265" t="s">
        <v>298</v>
      </c>
      <c r="C18" s="174">
        <v>8.0317331079108781E-2</v>
      </c>
      <c r="D18" s="215">
        <f t="dataTable" ref="D18:H22" dt2D="1" dtr="1" r1="L8" r2="L9" ca="1"/>
        <v>2911909.0239717336</v>
      </c>
      <c r="E18" s="77">
        <v>3032135.4496171596</v>
      </c>
      <c r="F18" s="77">
        <v>3152361.8752625855</v>
      </c>
      <c r="G18" s="77">
        <v>3272588.3009080114</v>
      </c>
      <c r="H18" s="77">
        <v>3392814.7265534373</v>
      </c>
      <c r="J18" s="265" t="s">
        <v>298</v>
      </c>
      <c r="K18" s="174">
        <f>C18</f>
        <v>8.0317331079108781E-2</v>
      </c>
      <c r="L18" s="220">
        <f t="shared" ref="L18:P22" si="4">D28/$L$11</f>
        <v>197.06128070455804</v>
      </c>
      <c r="M18" s="212">
        <f t="shared" si="4"/>
        <v>205.1042580691169</v>
      </c>
      <c r="N18" s="212">
        <f t="shared" si="4"/>
        <v>213.14723543367577</v>
      </c>
      <c r="O18" s="212">
        <f t="shared" si="4"/>
        <v>221.19021279823463</v>
      </c>
      <c r="P18" s="212">
        <f t="shared" si="4"/>
        <v>229.23319016279351</v>
      </c>
    </row>
    <row r="19" spans="2:16" x14ac:dyDescent="0.3">
      <c r="B19" s="265"/>
      <c r="C19" s="174">
        <f>C18+0.01</f>
        <v>9.0317331079108776E-2</v>
      </c>
      <c r="D19" s="216">
        <v>2763508.3329171864</v>
      </c>
      <c r="E19" s="77">
        <v>2876742.829546269</v>
      </c>
      <c r="F19" s="77">
        <v>2989977.3261753516</v>
      </c>
      <c r="G19" s="77">
        <v>3103211.8228044342</v>
      </c>
      <c r="H19" s="77">
        <v>3216446.3194335168</v>
      </c>
      <c r="J19" s="265"/>
      <c r="K19" s="174">
        <f t="shared" ref="K19:K22" si="5">C19</f>
        <v>9.0317331079108776E-2</v>
      </c>
      <c r="L19" s="221">
        <f t="shared" si="4"/>
        <v>187.13348494227898</v>
      </c>
      <c r="M19" s="212">
        <f t="shared" si="4"/>
        <v>194.70871217194735</v>
      </c>
      <c r="N19" s="212">
        <f t="shared" si="4"/>
        <v>202.2839394016157</v>
      </c>
      <c r="O19" s="212">
        <f t="shared" si="4"/>
        <v>209.85916663128407</v>
      </c>
      <c r="P19" s="212">
        <f t="shared" si="4"/>
        <v>217.43439386095241</v>
      </c>
    </row>
    <row r="20" spans="2:16" x14ac:dyDescent="0.3">
      <c r="B20" s="265"/>
      <c r="C20" s="174">
        <f t="shared" ref="C20:C22" si="6">C19+0.01</f>
        <v>0.10031733107910877</v>
      </c>
      <c r="D20" s="216">
        <v>2624527.2683012872</v>
      </c>
      <c r="E20" s="77">
        <v>2731234.8168763034</v>
      </c>
      <c r="F20" s="248">
        <v>2837942.3654513191</v>
      </c>
      <c r="G20" s="77">
        <v>2944649.9140263349</v>
      </c>
      <c r="H20" s="77">
        <v>3051357.4626013506</v>
      </c>
      <c r="J20" s="265"/>
      <c r="K20" s="174">
        <f t="shared" si="5"/>
        <v>0.10031733107910877</v>
      </c>
      <c r="L20" s="221">
        <f t="shared" si="4"/>
        <v>177.83584882936094</v>
      </c>
      <c r="M20" s="212">
        <f t="shared" si="4"/>
        <v>184.97443249105589</v>
      </c>
      <c r="N20" s="249">
        <f t="shared" si="4"/>
        <v>192.11301615275082</v>
      </c>
      <c r="O20" s="212">
        <f t="shared" si="4"/>
        <v>199.25159981444574</v>
      </c>
      <c r="P20" s="212">
        <f t="shared" si="4"/>
        <v>206.39018347614066</v>
      </c>
    </row>
    <row r="21" spans="2:16" x14ac:dyDescent="0.3">
      <c r="B21" s="265"/>
      <c r="C21" s="174">
        <f t="shared" si="6"/>
        <v>0.11031733107910877</v>
      </c>
      <c r="D21" s="216">
        <v>2494278.8033687207</v>
      </c>
      <c r="E21" s="77">
        <v>2594889.6500798767</v>
      </c>
      <c r="F21" s="77">
        <v>2695500.4967910331</v>
      </c>
      <c r="G21" s="77">
        <v>2796111.3435021895</v>
      </c>
      <c r="H21" s="77">
        <v>2896722.1902133459</v>
      </c>
      <c r="J21" s="265"/>
      <c r="K21" s="174">
        <f t="shared" si="5"/>
        <v>0.11031733107910877</v>
      </c>
      <c r="L21" s="221">
        <f t="shared" si="4"/>
        <v>169.12241125024892</v>
      </c>
      <c r="M21" s="212">
        <f t="shared" si="4"/>
        <v>175.85313420389863</v>
      </c>
      <c r="N21" s="212">
        <f t="shared" si="4"/>
        <v>182.58385715754838</v>
      </c>
      <c r="O21" s="212">
        <f t="shared" si="4"/>
        <v>189.31458011119813</v>
      </c>
      <c r="P21" s="212">
        <f t="shared" si="4"/>
        <v>196.04530306484787</v>
      </c>
    </row>
    <row r="22" spans="2:16" x14ac:dyDescent="0.3">
      <c r="B22" s="265"/>
      <c r="C22" s="174">
        <f t="shared" si="6"/>
        <v>0.12031733107910876</v>
      </c>
      <c r="D22" s="216">
        <v>2372131.9410938136</v>
      </c>
      <c r="E22" s="77">
        <v>2467044.4719083267</v>
      </c>
      <c r="F22" s="77">
        <v>2561957.0027228398</v>
      </c>
      <c r="G22" s="77">
        <v>2656869.5335373525</v>
      </c>
      <c r="H22" s="77">
        <v>2751782.0643518656</v>
      </c>
      <c r="J22" s="265"/>
      <c r="K22" s="174">
        <f t="shared" si="5"/>
        <v>0.12031733107910876</v>
      </c>
      <c r="L22" s="221">
        <f t="shared" si="4"/>
        <v>160.95095939883689</v>
      </c>
      <c r="M22" s="212">
        <f t="shared" si="4"/>
        <v>167.30047310063733</v>
      </c>
      <c r="N22" s="212">
        <f t="shared" si="4"/>
        <v>173.64998680243778</v>
      </c>
      <c r="O22" s="212">
        <f t="shared" si="4"/>
        <v>179.9995005042382</v>
      </c>
      <c r="P22" s="212">
        <f t="shared" si="4"/>
        <v>186.34901420603865</v>
      </c>
    </row>
    <row r="25" spans="2:16" x14ac:dyDescent="0.3">
      <c r="B25" s="73" t="s">
        <v>310</v>
      </c>
      <c r="C25" s="47"/>
      <c r="D25" s="47"/>
      <c r="E25" s="47"/>
      <c r="F25" s="47"/>
      <c r="G25" s="47"/>
      <c r="H25" s="47"/>
      <c r="J25" s="73" t="s">
        <v>326</v>
      </c>
      <c r="K25" s="47"/>
      <c r="L25" s="47"/>
      <c r="M25" s="47"/>
      <c r="N25" s="47"/>
      <c r="O25" s="47"/>
      <c r="P25" s="47"/>
    </row>
    <row r="26" spans="2:16" x14ac:dyDescent="0.3">
      <c r="D26" s="266" t="s">
        <v>297</v>
      </c>
      <c r="E26" s="266"/>
      <c r="F26" s="266"/>
      <c r="G26" s="266"/>
      <c r="H26" s="266"/>
      <c r="L26" s="266" t="s">
        <v>297</v>
      </c>
      <c r="M26" s="266"/>
      <c r="N26" s="266"/>
      <c r="O26" s="266"/>
      <c r="P26" s="266"/>
    </row>
    <row r="27" spans="2:16" x14ac:dyDescent="0.3">
      <c r="C27" s="77"/>
      <c r="D27" s="214">
        <f>D17</f>
        <v>18</v>
      </c>
      <c r="E27" s="214">
        <f t="shared" ref="E27:H27" si="7">E17</f>
        <v>19</v>
      </c>
      <c r="F27" s="214">
        <f t="shared" si="7"/>
        <v>20</v>
      </c>
      <c r="G27" s="214">
        <f t="shared" si="7"/>
        <v>21</v>
      </c>
      <c r="H27" s="214">
        <f t="shared" si="7"/>
        <v>22</v>
      </c>
      <c r="K27" s="174"/>
      <c r="L27" s="214">
        <f>D27</f>
        <v>18</v>
      </c>
      <c r="M27" s="214">
        <f t="shared" ref="M27:P27" si="8">E27</f>
        <v>19</v>
      </c>
      <c r="N27" s="214">
        <f t="shared" si="8"/>
        <v>20</v>
      </c>
      <c r="O27" s="214">
        <f t="shared" si="8"/>
        <v>21</v>
      </c>
      <c r="P27" s="214">
        <f t="shared" si="8"/>
        <v>22</v>
      </c>
    </row>
    <row r="28" spans="2:16" x14ac:dyDescent="0.3">
      <c r="B28" s="265" t="s">
        <v>298</v>
      </c>
      <c r="C28" s="174">
        <f>C18</f>
        <v>8.0317331079108781E-2</v>
      </c>
      <c r="D28" s="215">
        <f t="shared" ref="D28:H32" si="9">D18-$L$10</f>
        <v>2945672.0239717336</v>
      </c>
      <c r="E28" s="77">
        <f t="shared" si="9"/>
        <v>3065898.4496171596</v>
      </c>
      <c r="F28" s="77">
        <f t="shared" si="9"/>
        <v>3186124.8752625855</v>
      </c>
      <c r="G28" s="77">
        <f t="shared" si="9"/>
        <v>3306351.3009080114</v>
      </c>
      <c r="H28" s="77">
        <f t="shared" si="9"/>
        <v>3426577.7265534373</v>
      </c>
      <c r="J28" s="265" t="s">
        <v>298</v>
      </c>
      <c r="K28" s="174">
        <f>C28</f>
        <v>8.0317331079108781E-2</v>
      </c>
      <c r="L28" s="218">
        <f t="shared" ref="L28:P32" si="10">L18/$L$12-1</f>
        <v>-0.31897539153802168</v>
      </c>
      <c r="M28" s="174">
        <f t="shared" si="10"/>
        <v>-0.29117964449434308</v>
      </c>
      <c r="N28" s="174">
        <f t="shared" si="10"/>
        <v>-0.26338389745066437</v>
      </c>
      <c r="O28" s="174">
        <f t="shared" si="10"/>
        <v>-0.23558815040698566</v>
      </c>
      <c r="P28" s="174">
        <f t="shared" si="10"/>
        <v>-0.20779240336330695</v>
      </c>
    </row>
    <row r="29" spans="2:16" x14ac:dyDescent="0.3">
      <c r="B29" s="265"/>
      <c r="C29" s="174">
        <f t="shared" ref="C29:C32" si="11">C19</f>
        <v>9.0317331079108776E-2</v>
      </c>
      <c r="D29" s="216">
        <f t="shared" si="9"/>
        <v>2797271.3329171864</v>
      </c>
      <c r="E29" s="77">
        <f t="shared" si="9"/>
        <v>2910505.829546269</v>
      </c>
      <c r="F29" s="77">
        <f t="shared" si="9"/>
        <v>3023740.3261753516</v>
      </c>
      <c r="G29" s="77">
        <f t="shared" si="9"/>
        <v>3136974.8228044342</v>
      </c>
      <c r="H29" s="77">
        <f t="shared" si="9"/>
        <v>3250209.3194335168</v>
      </c>
      <c r="J29" s="265"/>
      <c r="K29" s="174">
        <f t="shared" ref="K29:K32" si="12">C29</f>
        <v>9.0317331079108776E-2</v>
      </c>
      <c r="L29" s="219">
        <f t="shared" si="10"/>
        <v>-0.35328488753705078</v>
      </c>
      <c r="M29" s="174">
        <f t="shared" si="10"/>
        <v>-0.32710563943894333</v>
      </c>
      <c r="N29" s="174">
        <f t="shared" si="10"/>
        <v>-0.30092639134083599</v>
      </c>
      <c r="O29" s="174">
        <f t="shared" si="10"/>
        <v>-0.27474714324272853</v>
      </c>
      <c r="P29" s="174">
        <f t="shared" si="10"/>
        <v>-0.24856789514462119</v>
      </c>
    </row>
    <row r="30" spans="2:16" x14ac:dyDescent="0.3">
      <c r="B30" s="265"/>
      <c r="C30" s="174">
        <f t="shared" si="11"/>
        <v>0.10031733107910877</v>
      </c>
      <c r="D30" s="216">
        <f t="shared" si="9"/>
        <v>2658290.2683012872</v>
      </c>
      <c r="E30" s="77">
        <f t="shared" si="9"/>
        <v>2764997.8168763034</v>
      </c>
      <c r="F30" s="248">
        <f t="shared" si="9"/>
        <v>2871705.3654513191</v>
      </c>
      <c r="G30" s="77">
        <f t="shared" si="9"/>
        <v>2978412.9140263349</v>
      </c>
      <c r="H30" s="77">
        <f t="shared" si="9"/>
        <v>3085120.4626013506</v>
      </c>
      <c r="J30" s="265"/>
      <c r="K30" s="174">
        <f t="shared" si="12"/>
        <v>0.10031733107910877</v>
      </c>
      <c r="L30" s="219">
        <f t="shared" si="10"/>
        <v>-0.38541661311390329</v>
      </c>
      <c r="M30" s="174">
        <f t="shared" si="10"/>
        <v>-0.36074636269333737</v>
      </c>
      <c r="N30" s="250">
        <f t="shared" si="10"/>
        <v>-0.33607611227277157</v>
      </c>
      <c r="O30" s="174">
        <f t="shared" si="10"/>
        <v>-0.31140586185220576</v>
      </c>
      <c r="P30" s="174">
        <f t="shared" si="10"/>
        <v>-0.28673561143163995</v>
      </c>
    </row>
    <row r="31" spans="2:16" x14ac:dyDescent="0.3">
      <c r="B31" s="265"/>
      <c r="C31" s="174">
        <f t="shared" si="11"/>
        <v>0.11031733107910877</v>
      </c>
      <c r="D31" s="216">
        <f t="shared" si="9"/>
        <v>2528041.8033687207</v>
      </c>
      <c r="E31" s="77">
        <f t="shared" si="9"/>
        <v>2628652.6500798767</v>
      </c>
      <c r="F31" s="77">
        <f t="shared" si="9"/>
        <v>2729263.4967910331</v>
      </c>
      <c r="G31" s="77">
        <f t="shared" si="9"/>
        <v>2829874.3435021895</v>
      </c>
      <c r="H31" s="77">
        <f t="shared" si="9"/>
        <v>2930485.1902133459</v>
      </c>
      <c r="J31" s="265"/>
      <c r="K31" s="174">
        <f t="shared" si="12"/>
        <v>0.11031733107910877</v>
      </c>
      <c r="L31" s="219">
        <f t="shared" si="10"/>
        <v>-0.41552940541108341</v>
      </c>
      <c r="M31" s="174">
        <f t="shared" si="10"/>
        <v>-0.39226868190524389</v>
      </c>
      <c r="N31" s="174">
        <f t="shared" si="10"/>
        <v>-0.36900795839940426</v>
      </c>
      <c r="O31" s="174">
        <f t="shared" si="10"/>
        <v>-0.34574723489356474</v>
      </c>
      <c r="P31" s="174">
        <f t="shared" si="10"/>
        <v>-0.32248651138772511</v>
      </c>
    </row>
    <row r="32" spans="2:16" x14ac:dyDescent="0.3">
      <c r="B32" s="265"/>
      <c r="C32" s="174">
        <f t="shared" si="11"/>
        <v>0.12031733107910876</v>
      </c>
      <c r="D32" s="216">
        <f t="shared" si="9"/>
        <v>2405894.9410938136</v>
      </c>
      <c r="E32" s="77">
        <f t="shared" si="9"/>
        <v>2500807.4719083267</v>
      </c>
      <c r="F32" s="77">
        <f t="shared" si="9"/>
        <v>2595720.0027228398</v>
      </c>
      <c r="G32" s="77">
        <f t="shared" si="9"/>
        <v>2690632.5335373525</v>
      </c>
      <c r="H32" s="77">
        <f t="shared" si="9"/>
        <v>2785545.0643518656</v>
      </c>
      <c r="J32" s="265"/>
      <c r="K32" s="174">
        <f t="shared" si="12"/>
        <v>0.12031733107910876</v>
      </c>
      <c r="L32" s="219">
        <f t="shared" si="10"/>
        <v>-0.44376914777841836</v>
      </c>
      <c r="M32" s="174">
        <f t="shared" si="10"/>
        <v>-0.42182584634836429</v>
      </c>
      <c r="N32" s="174">
        <f t="shared" si="10"/>
        <v>-0.39988254491831021</v>
      </c>
      <c r="O32" s="174">
        <f t="shared" si="10"/>
        <v>-0.37793924348825614</v>
      </c>
      <c r="P32" s="174">
        <f t="shared" si="10"/>
        <v>-0.35599594205820206</v>
      </c>
    </row>
    <row r="34" spans="2:16" x14ac:dyDescent="0.3">
      <c r="B34" s="259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</row>
    <row r="36" spans="2:16" x14ac:dyDescent="0.3">
      <c r="B36" s="50"/>
    </row>
  </sheetData>
  <mergeCells count="8">
    <mergeCell ref="B28:B32"/>
    <mergeCell ref="J28:J32"/>
    <mergeCell ref="D16:H16"/>
    <mergeCell ref="L16:P16"/>
    <mergeCell ref="D26:H26"/>
    <mergeCell ref="L26:P26"/>
    <mergeCell ref="B18:B22"/>
    <mergeCell ref="J18:J22"/>
  </mergeCells>
  <conditionalFormatting sqref="H4">
    <cfRule type="expression" dxfId="1" priority="1">
      <formula>$H$4="ON"</formula>
    </cfRule>
    <cfRule type="expression" dxfId="0" priority="2">
      <formula>$H$4="OFF"</formula>
    </cfRule>
  </conditionalFormatting>
  <dataValidations count="1">
    <dataValidation type="list" allowBlank="1" showInputMessage="1" showErrorMessage="1" sqref="H4" xr:uid="{CE14356C-8C00-41D1-9489-C576730D0F07}">
      <formula1>"ON,OFF"</formula1>
    </dataValidation>
  </dataValidations>
  <printOptions horizontalCentered="1"/>
  <pageMargins left="0.7" right="0.7" top="0.75" bottom="0.75" header="0.3" footer="0.3"/>
  <pageSetup scale="70" orientation="landscape" r:id="rId1"/>
  <headerFooter>
    <oddFooter>&amp;LApple Inc. — DCF Valuation&amp;C&amp;A&amp;RPage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2</xdr:col>
                    <xdr:colOff>655320</xdr:colOff>
                    <xdr:row>3</xdr:row>
                    <xdr:rowOff>7620</xdr:rowOff>
                  </from>
                  <to>
                    <xdr:col>4</xdr:col>
                    <xdr:colOff>7620</xdr:colOff>
                    <xdr:row>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AD5C-9A06-4BFF-8519-BE6D46A84086}">
  <sheetPr>
    <tabColor rgb="FF002060"/>
    <pageSetUpPr fitToPage="1"/>
  </sheetPr>
  <dimension ref="A3:O59"/>
  <sheetViews>
    <sheetView showGridLines="0" topLeftCell="A14" workbookViewId="0">
      <selection activeCell="B5" sqref="B5"/>
    </sheetView>
  </sheetViews>
  <sheetFormatPr defaultRowHeight="15.6" x14ac:dyDescent="0.3"/>
  <cols>
    <col min="1" max="11" width="8.88671875" style="41"/>
    <col min="12" max="12" width="14.6640625" style="41" bestFit="1" customWidth="1"/>
    <col min="13" max="16384" width="8.88671875" style="41"/>
  </cols>
  <sheetData>
    <row r="3" spans="1:15" ht="20.399999999999999" x14ac:dyDescent="0.35">
      <c r="A3" s="41" t="s">
        <v>111</v>
      </c>
      <c r="B3" s="44" t="s">
        <v>113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46"/>
      <c r="O3" s="46"/>
    </row>
    <row r="4" spans="1:15" ht="20.399999999999999" x14ac:dyDescent="0.35">
      <c r="B4" s="60">
        <f>Output!D4</f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x14ac:dyDescent="0.3">
      <c r="L5" s="48"/>
    </row>
    <row r="6" spans="1:15" x14ac:dyDescent="0.3">
      <c r="B6" s="6" t="s">
        <v>2</v>
      </c>
      <c r="C6" s="11"/>
      <c r="D6" s="11"/>
      <c r="E6" s="11"/>
      <c r="F6" s="11"/>
      <c r="G6" s="22" t="s">
        <v>13</v>
      </c>
      <c r="H6" s="22" t="s">
        <v>14</v>
      </c>
      <c r="I6" s="22" t="s">
        <v>15</v>
      </c>
      <c r="J6" s="22" t="s">
        <v>16</v>
      </c>
      <c r="K6" s="22" t="s">
        <v>17</v>
      </c>
      <c r="L6" s="23" t="s">
        <v>18</v>
      </c>
      <c r="N6" s="61">
        <v>1</v>
      </c>
    </row>
    <row r="7" spans="1:15" x14ac:dyDescent="0.3">
      <c r="B7" s="50" t="s">
        <v>119</v>
      </c>
      <c r="G7" s="62">
        <f>INDEX(G9:G11,MATCH($B$4,$N$6:$N$8))</f>
        <v>0.125</v>
      </c>
      <c r="H7" s="62">
        <f t="shared" ref="H7:L7" si="0">INDEX(H9:H11,MATCH($B$4,$N$6:$N$8))</f>
        <v>3.7499999999999999E-2</v>
      </c>
      <c r="I7" s="62">
        <f t="shared" si="0"/>
        <v>3.7499999999999999E-2</v>
      </c>
      <c r="J7" s="62">
        <f t="shared" si="0"/>
        <v>0.03</v>
      </c>
      <c r="K7" s="63">
        <f t="shared" si="0"/>
        <v>4.4999999999999998E-2</v>
      </c>
      <c r="L7" s="64">
        <f t="shared" si="0"/>
        <v>2.5000000000000001E-2</v>
      </c>
      <c r="N7" s="61">
        <v>2</v>
      </c>
    </row>
    <row r="8" spans="1:15" x14ac:dyDescent="0.3">
      <c r="L8" s="48"/>
      <c r="N8" s="61">
        <v>3</v>
      </c>
    </row>
    <row r="9" spans="1:15" x14ac:dyDescent="0.3">
      <c r="B9" s="41" t="s">
        <v>114</v>
      </c>
      <c r="G9" s="53">
        <v>0.15</v>
      </c>
      <c r="H9" s="53">
        <v>0.05</v>
      </c>
      <c r="I9" s="53">
        <v>0.05</v>
      </c>
      <c r="J9" s="53">
        <v>0.04</v>
      </c>
      <c r="K9" s="53">
        <v>0.03</v>
      </c>
      <c r="L9" s="54">
        <v>0.03</v>
      </c>
    </row>
    <row r="10" spans="1:15" x14ac:dyDescent="0.3">
      <c r="B10" s="41" t="s">
        <v>115</v>
      </c>
      <c r="G10" s="53">
        <v>0.125</v>
      </c>
      <c r="H10" s="53">
        <v>3.7499999999999999E-2</v>
      </c>
      <c r="I10" s="53">
        <v>3.7499999999999999E-2</v>
      </c>
      <c r="J10" s="53">
        <v>0.03</v>
      </c>
      <c r="K10" s="53">
        <v>4.4999999999999998E-2</v>
      </c>
      <c r="L10" s="54">
        <v>2.5000000000000001E-2</v>
      </c>
    </row>
    <row r="11" spans="1:15" x14ac:dyDescent="0.3">
      <c r="B11" s="41" t="s">
        <v>116</v>
      </c>
      <c r="G11" s="53">
        <v>0.1</v>
      </c>
      <c r="H11" s="53">
        <v>2.5000000000000001E-2</v>
      </c>
      <c r="I11" s="53">
        <v>2.5000000000000001E-2</v>
      </c>
      <c r="J11" s="53">
        <v>0.02</v>
      </c>
      <c r="K11" s="53">
        <v>1.4999999999999999E-2</v>
      </c>
      <c r="L11" s="54">
        <v>0.02</v>
      </c>
    </row>
    <row r="12" spans="1:15" x14ac:dyDescent="0.3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9"/>
    </row>
    <row r="13" spans="1:15" x14ac:dyDescent="0.3">
      <c r="B13" s="50" t="s">
        <v>120</v>
      </c>
      <c r="G13" s="62">
        <f t="shared" ref="G13:L13" si="1">INDEX(G15:G17,MATCH($B$4,$N$6:$N$8))</f>
        <v>0.52</v>
      </c>
      <c r="H13" s="62">
        <f t="shared" si="1"/>
        <v>0.52</v>
      </c>
      <c r="I13" s="62">
        <f t="shared" si="1"/>
        <v>0.52</v>
      </c>
      <c r="J13" s="62">
        <f t="shared" si="1"/>
        <v>0.52</v>
      </c>
      <c r="K13" s="63">
        <f t="shared" si="1"/>
        <v>0.52</v>
      </c>
      <c r="L13" s="64">
        <f t="shared" si="1"/>
        <v>0.52</v>
      </c>
    </row>
    <row r="14" spans="1:15" x14ac:dyDescent="0.3">
      <c r="L14" s="48"/>
    </row>
    <row r="15" spans="1:15" x14ac:dyDescent="0.3">
      <c r="B15" s="41" t="s">
        <v>114</v>
      </c>
      <c r="G15" s="53">
        <v>0.5</v>
      </c>
      <c r="H15" s="53">
        <v>0.5</v>
      </c>
      <c r="I15" s="53">
        <v>0.5</v>
      </c>
      <c r="J15" s="53">
        <v>0.5</v>
      </c>
      <c r="K15" s="53">
        <v>0.5</v>
      </c>
      <c r="L15" s="54">
        <v>0.5</v>
      </c>
    </row>
    <row r="16" spans="1:15" x14ac:dyDescent="0.3">
      <c r="B16" s="41" t="s">
        <v>115</v>
      </c>
      <c r="G16" s="53">
        <v>0.52</v>
      </c>
      <c r="H16" s="53">
        <v>0.52</v>
      </c>
      <c r="I16" s="53">
        <v>0.52</v>
      </c>
      <c r="J16" s="53">
        <v>0.52</v>
      </c>
      <c r="K16" s="53">
        <v>0.52</v>
      </c>
      <c r="L16" s="54">
        <v>0.52</v>
      </c>
    </row>
    <row r="17" spans="2:12" x14ac:dyDescent="0.3">
      <c r="B17" s="41" t="s">
        <v>116</v>
      </c>
      <c r="G17" s="53">
        <v>0.54</v>
      </c>
      <c r="H17" s="53">
        <v>0.54</v>
      </c>
      <c r="I17" s="53">
        <v>0.54</v>
      </c>
      <c r="J17" s="53">
        <v>0.54</v>
      </c>
      <c r="K17" s="53">
        <v>0.54</v>
      </c>
      <c r="L17" s="54">
        <v>0.54</v>
      </c>
    </row>
    <row r="18" spans="2:12" x14ac:dyDescent="0.3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9"/>
    </row>
    <row r="19" spans="2:12" x14ac:dyDescent="0.3">
      <c r="B19" s="50" t="s">
        <v>125</v>
      </c>
      <c r="G19" s="62">
        <f t="shared" ref="G19:L19" si="2">INDEX(G21:G23,MATCH($B$4,$N$6:$N$8))</f>
        <v>6.5000000000000002E-2</v>
      </c>
      <c r="H19" s="62">
        <f t="shared" si="2"/>
        <v>6.5000000000000002E-2</v>
      </c>
      <c r="I19" s="62">
        <f t="shared" si="2"/>
        <v>6.5000000000000002E-2</v>
      </c>
      <c r="J19" s="62">
        <f t="shared" si="2"/>
        <v>6.5000000000000002E-2</v>
      </c>
      <c r="K19" s="63">
        <f t="shared" si="2"/>
        <v>6.5000000000000002E-2</v>
      </c>
      <c r="L19" s="64">
        <f t="shared" si="2"/>
        <v>6.5000000000000002E-2</v>
      </c>
    </row>
    <row r="20" spans="2:12" x14ac:dyDescent="0.3">
      <c r="L20" s="48"/>
    </row>
    <row r="21" spans="2:12" x14ac:dyDescent="0.3">
      <c r="B21" s="41" t="s">
        <v>114</v>
      </c>
      <c r="G21" s="53">
        <v>0.06</v>
      </c>
      <c r="H21" s="53">
        <v>0.06</v>
      </c>
      <c r="I21" s="53">
        <v>0.06</v>
      </c>
      <c r="J21" s="53">
        <v>0.06</v>
      </c>
      <c r="K21" s="53">
        <v>0.06</v>
      </c>
      <c r="L21" s="54">
        <v>0.06</v>
      </c>
    </row>
    <row r="22" spans="2:12" x14ac:dyDescent="0.3">
      <c r="B22" s="41" t="s">
        <v>115</v>
      </c>
      <c r="G22" s="53">
        <v>6.5000000000000002E-2</v>
      </c>
      <c r="H22" s="53">
        <v>6.5000000000000002E-2</v>
      </c>
      <c r="I22" s="53">
        <v>6.5000000000000002E-2</v>
      </c>
      <c r="J22" s="53">
        <v>6.5000000000000002E-2</v>
      </c>
      <c r="K22" s="53">
        <v>6.5000000000000002E-2</v>
      </c>
      <c r="L22" s="54">
        <v>6.5000000000000002E-2</v>
      </c>
    </row>
    <row r="23" spans="2:12" x14ac:dyDescent="0.3">
      <c r="B23" s="41" t="s">
        <v>116</v>
      </c>
      <c r="G23" s="53">
        <v>7.0000000000000007E-2</v>
      </c>
      <c r="H23" s="53">
        <v>7.0000000000000007E-2</v>
      </c>
      <c r="I23" s="53">
        <v>7.0000000000000007E-2</v>
      </c>
      <c r="J23" s="53">
        <v>7.0000000000000007E-2</v>
      </c>
      <c r="K23" s="53">
        <v>7.0000000000000007E-2</v>
      </c>
      <c r="L23" s="54">
        <v>7.0000000000000007E-2</v>
      </c>
    </row>
    <row r="24" spans="2:12" x14ac:dyDescent="0.3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9"/>
    </row>
    <row r="25" spans="2:12" x14ac:dyDescent="0.3">
      <c r="B25" s="50" t="s">
        <v>121</v>
      </c>
      <c r="G25" s="62">
        <f t="shared" ref="G25:L25" si="3">INDEX(G27:G29,MATCH($B$4,$N$6:$N$8))</f>
        <v>0.09</v>
      </c>
      <c r="H25" s="62">
        <f t="shared" si="3"/>
        <v>0.09</v>
      </c>
      <c r="I25" s="62">
        <f t="shared" si="3"/>
        <v>0.09</v>
      </c>
      <c r="J25" s="62">
        <f t="shared" si="3"/>
        <v>0.09</v>
      </c>
      <c r="K25" s="63">
        <f t="shared" si="3"/>
        <v>0.09</v>
      </c>
      <c r="L25" s="64">
        <f t="shared" si="3"/>
        <v>0.09</v>
      </c>
    </row>
    <row r="26" spans="2:12" x14ac:dyDescent="0.3">
      <c r="L26" s="48"/>
    </row>
    <row r="27" spans="2:12" x14ac:dyDescent="0.3">
      <c r="B27" s="41" t="s">
        <v>114</v>
      </c>
      <c r="G27" s="53">
        <v>9.5000000000000001E-2</v>
      </c>
      <c r="H27" s="53">
        <v>9.5000000000000001E-2</v>
      </c>
      <c r="I27" s="53">
        <v>9.5000000000000001E-2</v>
      </c>
      <c r="J27" s="53">
        <v>9.5000000000000001E-2</v>
      </c>
      <c r="K27" s="53">
        <v>9.5000000000000001E-2</v>
      </c>
      <c r="L27" s="54">
        <v>9.5000000000000001E-2</v>
      </c>
    </row>
    <row r="28" spans="2:12" x14ac:dyDescent="0.3">
      <c r="B28" s="41" t="s">
        <v>115</v>
      </c>
      <c r="G28" s="53">
        <v>0.09</v>
      </c>
      <c r="H28" s="53">
        <v>0.09</v>
      </c>
      <c r="I28" s="53">
        <v>0.09</v>
      </c>
      <c r="J28" s="53">
        <v>0.09</v>
      </c>
      <c r="K28" s="53">
        <v>0.09</v>
      </c>
      <c r="L28" s="54">
        <v>0.09</v>
      </c>
    </row>
    <row r="29" spans="2:12" x14ac:dyDescent="0.3">
      <c r="B29" s="41" t="s">
        <v>116</v>
      </c>
      <c r="G29" s="53">
        <v>8.5000000000000006E-2</v>
      </c>
      <c r="H29" s="53">
        <v>8.5000000000000006E-2</v>
      </c>
      <c r="I29" s="53">
        <v>8.5000000000000006E-2</v>
      </c>
      <c r="J29" s="53">
        <v>8.5000000000000006E-2</v>
      </c>
      <c r="K29" s="53">
        <v>8.5000000000000006E-2</v>
      </c>
      <c r="L29" s="54">
        <v>8.5000000000000006E-2</v>
      </c>
    </row>
    <row r="30" spans="2:12" x14ac:dyDescent="0.3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9"/>
    </row>
    <row r="31" spans="2:12" x14ac:dyDescent="0.3">
      <c r="B31" s="50" t="s">
        <v>122</v>
      </c>
      <c r="G31" s="62">
        <f t="shared" ref="G31:L31" si="4">INDEX(G33:G35,MATCH($B$4,$N$6:$N$8))</f>
        <v>0.17</v>
      </c>
      <c r="H31" s="62">
        <f t="shared" si="4"/>
        <v>0.17</v>
      </c>
      <c r="I31" s="62">
        <f t="shared" si="4"/>
        <v>0.17</v>
      </c>
      <c r="J31" s="62">
        <f t="shared" si="4"/>
        <v>0.17</v>
      </c>
      <c r="K31" s="63">
        <f t="shared" si="4"/>
        <v>0.17</v>
      </c>
      <c r="L31" s="64">
        <f t="shared" si="4"/>
        <v>0.17</v>
      </c>
    </row>
    <row r="32" spans="2:12" x14ac:dyDescent="0.3">
      <c r="L32" s="48"/>
    </row>
    <row r="33" spans="1:12" x14ac:dyDescent="0.3">
      <c r="B33" s="41" t="s">
        <v>114</v>
      </c>
      <c r="G33" s="53">
        <v>0.16</v>
      </c>
      <c r="H33" s="53">
        <v>0.16</v>
      </c>
      <c r="I33" s="53">
        <v>0.16</v>
      </c>
      <c r="J33" s="53">
        <v>0.16</v>
      </c>
      <c r="K33" s="53">
        <v>0.16</v>
      </c>
      <c r="L33" s="54">
        <v>0.16</v>
      </c>
    </row>
    <row r="34" spans="1:12" x14ac:dyDescent="0.3">
      <c r="B34" s="41" t="s">
        <v>115</v>
      </c>
      <c r="G34" s="53">
        <v>0.17</v>
      </c>
      <c r="H34" s="53">
        <v>0.17</v>
      </c>
      <c r="I34" s="53">
        <v>0.17</v>
      </c>
      <c r="J34" s="53">
        <v>0.17</v>
      </c>
      <c r="K34" s="53">
        <v>0.17</v>
      </c>
      <c r="L34" s="54">
        <v>0.17</v>
      </c>
    </row>
    <row r="35" spans="1:12" x14ac:dyDescent="0.3">
      <c r="B35" s="41" t="s">
        <v>116</v>
      </c>
      <c r="G35" s="53">
        <v>0.18</v>
      </c>
      <c r="H35" s="53">
        <v>0.18</v>
      </c>
      <c r="I35" s="53">
        <v>0.18</v>
      </c>
      <c r="J35" s="53">
        <v>0.18</v>
      </c>
      <c r="K35" s="53">
        <v>0.18</v>
      </c>
      <c r="L35" s="54">
        <v>0.18</v>
      </c>
    </row>
    <row r="36" spans="1:12" x14ac:dyDescent="0.3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9"/>
    </row>
    <row r="37" spans="1:12" x14ac:dyDescent="0.3">
      <c r="B37" s="50" t="s">
        <v>123</v>
      </c>
      <c r="G37" s="62">
        <f t="shared" ref="G37:L37" si="5">INDEX(G39:G41,MATCH($B$4,$N$6:$N$8))</f>
        <v>2.8000000000000001E-2</v>
      </c>
      <c r="H37" s="62">
        <f t="shared" si="5"/>
        <v>2.8000000000000001E-2</v>
      </c>
      <c r="I37" s="62">
        <f t="shared" si="5"/>
        <v>2.8000000000000001E-2</v>
      </c>
      <c r="J37" s="62">
        <f t="shared" si="5"/>
        <v>2.8000000000000001E-2</v>
      </c>
      <c r="K37" s="63">
        <f t="shared" si="5"/>
        <v>2.8000000000000001E-2</v>
      </c>
      <c r="L37" s="64">
        <f t="shared" si="5"/>
        <v>2.8000000000000001E-2</v>
      </c>
    </row>
    <row r="38" spans="1:12" x14ac:dyDescent="0.3">
      <c r="L38" s="48"/>
    </row>
    <row r="39" spans="1:12" x14ac:dyDescent="0.3">
      <c r="B39" s="41" t="s">
        <v>114</v>
      </c>
      <c r="G39" s="53">
        <v>2.5999999999999999E-2</v>
      </c>
      <c r="H39" s="53">
        <v>2.5999999999999999E-2</v>
      </c>
      <c r="I39" s="53">
        <v>2.5999999999999999E-2</v>
      </c>
      <c r="J39" s="53">
        <v>2.5999999999999999E-2</v>
      </c>
      <c r="K39" s="53">
        <v>2.5999999999999999E-2</v>
      </c>
      <c r="L39" s="54">
        <v>2.5999999999999999E-2</v>
      </c>
    </row>
    <row r="40" spans="1:12" x14ac:dyDescent="0.3">
      <c r="B40" s="41" t="s">
        <v>115</v>
      </c>
      <c r="G40" s="53">
        <v>2.8000000000000001E-2</v>
      </c>
      <c r="H40" s="53">
        <v>2.8000000000000001E-2</v>
      </c>
      <c r="I40" s="53">
        <v>2.8000000000000001E-2</v>
      </c>
      <c r="J40" s="53">
        <v>2.8000000000000001E-2</v>
      </c>
      <c r="K40" s="53">
        <v>2.8000000000000001E-2</v>
      </c>
      <c r="L40" s="54">
        <v>2.8000000000000001E-2</v>
      </c>
    </row>
    <row r="41" spans="1:12" x14ac:dyDescent="0.3">
      <c r="B41" s="41" t="s">
        <v>116</v>
      </c>
      <c r="G41" s="53">
        <v>0.03</v>
      </c>
      <c r="H41" s="53">
        <v>0.03</v>
      </c>
      <c r="I41" s="53">
        <v>0.03</v>
      </c>
      <c r="J41" s="53">
        <v>0.03</v>
      </c>
      <c r="K41" s="53">
        <v>0.03</v>
      </c>
      <c r="L41" s="54">
        <v>0.03</v>
      </c>
    </row>
    <row r="42" spans="1:12" x14ac:dyDescent="0.3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9"/>
    </row>
    <row r="44" spans="1:12" ht="20.399999999999999" x14ac:dyDescent="0.35">
      <c r="A44" s="41" t="s">
        <v>111</v>
      </c>
      <c r="B44" s="55" t="s">
        <v>126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</row>
    <row r="45" spans="1:12" ht="20.399999999999999" x14ac:dyDescent="0.35"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</row>
    <row r="46" spans="1:12" x14ac:dyDescent="0.3">
      <c r="B46" s="57" t="s">
        <v>127</v>
      </c>
      <c r="C46" s="47"/>
      <c r="D46" s="47"/>
      <c r="E46" s="47"/>
      <c r="F46" s="47"/>
      <c r="G46" s="57" t="s">
        <v>128</v>
      </c>
      <c r="H46" s="47"/>
      <c r="I46" s="47"/>
      <c r="J46" s="47"/>
      <c r="K46" s="47"/>
      <c r="L46" s="47"/>
    </row>
    <row r="47" spans="1:12" ht="49.5" customHeight="1" x14ac:dyDescent="0.3">
      <c r="B47" s="58" t="s">
        <v>124</v>
      </c>
      <c r="G47" s="269" t="s">
        <v>129</v>
      </c>
      <c r="H47" s="269"/>
      <c r="I47" s="269"/>
      <c r="J47" s="269"/>
      <c r="K47" s="269"/>
      <c r="L47" s="269"/>
    </row>
    <row r="49" spans="2:12" ht="49.5" customHeight="1" x14ac:dyDescent="0.3">
      <c r="B49" s="58" t="s">
        <v>20</v>
      </c>
      <c r="G49" s="268" t="s">
        <v>130</v>
      </c>
      <c r="H49" s="268"/>
      <c r="I49" s="268"/>
      <c r="J49" s="268"/>
      <c r="K49" s="268"/>
      <c r="L49" s="268"/>
    </row>
    <row r="51" spans="2:12" ht="34.049999999999997" customHeight="1" x14ac:dyDescent="0.3">
      <c r="B51" s="58" t="s">
        <v>24</v>
      </c>
      <c r="G51" s="268" t="s">
        <v>131</v>
      </c>
      <c r="H51" s="268"/>
      <c r="I51" s="268"/>
      <c r="J51" s="268"/>
      <c r="K51" s="268"/>
      <c r="L51" s="268"/>
    </row>
    <row r="53" spans="2:12" ht="34.049999999999997" customHeight="1" x14ac:dyDescent="0.3">
      <c r="B53" s="58" t="s">
        <v>26</v>
      </c>
      <c r="G53" s="268" t="s">
        <v>132</v>
      </c>
      <c r="H53" s="268"/>
      <c r="I53" s="268"/>
      <c r="J53" s="268"/>
      <c r="K53" s="268"/>
      <c r="L53" s="268"/>
    </row>
    <row r="55" spans="2:12" ht="34.049999999999997" customHeight="1" x14ac:dyDescent="0.3">
      <c r="B55" s="58" t="s">
        <v>117</v>
      </c>
      <c r="G55" s="268" t="s">
        <v>133</v>
      </c>
      <c r="H55" s="268"/>
      <c r="I55" s="268"/>
      <c r="J55" s="268"/>
      <c r="K55" s="268"/>
      <c r="L55" s="268"/>
    </row>
    <row r="57" spans="2:12" ht="18.45" customHeight="1" x14ac:dyDescent="0.3">
      <c r="B57" s="58" t="s">
        <v>118</v>
      </c>
      <c r="G57" s="267" t="s">
        <v>156</v>
      </c>
      <c r="H57" s="268"/>
      <c r="I57" s="268"/>
      <c r="J57" s="268"/>
      <c r="K57" s="268"/>
      <c r="L57" s="268"/>
    </row>
    <row r="58" spans="2:12" ht="18.45" customHeight="1" x14ac:dyDescent="0.3">
      <c r="B58" s="58"/>
      <c r="G58" s="93" t="s">
        <v>157</v>
      </c>
      <c r="H58" s="59"/>
      <c r="I58" s="59"/>
      <c r="J58" s="59"/>
      <c r="K58" s="59"/>
      <c r="L58" s="59"/>
    </row>
    <row r="59" spans="2:12" x14ac:dyDescent="0.3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</row>
  </sheetData>
  <mergeCells count="6">
    <mergeCell ref="G57:L57"/>
    <mergeCell ref="G47:L47"/>
    <mergeCell ref="G49:L49"/>
    <mergeCell ref="G51:L51"/>
    <mergeCell ref="G53:L53"/>
    <mergeCell ref="G55:L55"/>
  </mergeCells>
  <printOptions horizontalCentered="1"/>
  <pageMargins left="0.7" right="0.7" top="0.75" bottom="0.75" header="0.3" footer="0.3"/>
  <pageSetup scale="82" fitToHeight="0" orientation="landscape" r:id="rId1"/>
  <headerFooter>
    <oddFooter>&amp;LApple Inc. — DCF Valuation&amp;C&amp;A&amp;RPage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83820</xdr:rowOff>
                  </from>
                  <to>
                    <xdr:col>2</xdr:col>
                    <xdr:colOff>289560</xdr:colOff>
                    <xdr:row>4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3:AA259"/>
  <sheetViews>
    <sheetView showGridLines="0" topLeftCell="E68" zoomScale="87" zoomScaleNormal="100" workbookViewId="0">
      <selection activeCell="Q88" sqref="Q88"/>
    </sheetView>
  </sheetViews>
  <sheetFormatPr defaultColWidth="8.88671875" defaultRowHeight="13.8" x14ac:dyDescent="0.25"/>
  <cols>
    <col min="1" max="1" width="8.88671875" style="1"/>
    <col min="2" max="2" width="11.5546875" style="1" customWidth="1"/>
    <col min="3" max="12" width="8.88671875" style="1"/>
    <col min="13" max="16" width="10.33203125" style="1" bestFit="1" customWidth="1"/>
    <col min="17" max="21" width="10.5546875" style="1" bestFit="1" customWidth="1"/>
    <col min="22" max="22" width="15.109375" style="1" bestFit="1" customWidth="1"/>
    <col min="23" max="16384" width="8.88671875" style="1"/>
  </cols>
  <sheetData>
    <row r="3" spans="1:22" ht="19.5" customHeight="1" x14ac:dyDescent="0.35">
      <c r="A3" s="1" t="s">
        <v>111</v>
      </c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3.5" customHeight="1" x14ac:dyDescent="0.25">
      <c r="B4" s="4" t="s">
        <v>1</v>
      </c>
      <c r="V4" s="5"/>
    </row>
    <row r="5" spans="1:22" ht="15" customHeight="1" x14ac:dyDescent="0.3">
      <c r="B5" s="6" t="s">
        <v>2</v>
      </c>
      <c r="C5" s="7"/>
      <c r="D5" s="7"/>
      <c r="E5" s="7"/>
      <c r="F5" s="7"/>
      <c r="G5" s="8" t="s">
        <v>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 t="s">
        <v>15</v>
      </c>
      <c r="T5" s="8" t="s">
        <v>16</v>
      </c>
      <c r="U5" s="8" t="s">
        <v>17</v>
      </c>
      <c r="V5" s="116" t="s">
        <v>18</v>
      </c>
    </row>
    <row r="6" spans="1:22" ht="13.5" customHeight="1" x14ac:dyDescent="0.25">
      <c r="V6" s="5"/>
    </row>
    <row r="7" spans="1:22" ht="15" customHeight="1" x14ac:dyDescent="0.3">
      <c r="B7" s="9" t="s">
        <v>19</v>
      </c>
      <c r="C7" s="9"/>
      <c r="D7" s="9"/>
      <c r="E7" s="9"/>
      <c r="F7" s="9"/>
      <c r="G7" s="10">
        <v>215639</v>
      </c>
      <c r="H7" s="10">
        <v>229234</v>
      </c>
      <c r="I7" s="10">
        <v>265595</v>
      </c>
      <c r="J7" s="10">
        <v>260174</v>
      </c>
      <c r="K7" s="10">
        <v>274515</v>
      </c>
      <c r="L7" s="10">
        <v>365817</v>
      </c>
      <c r="M7" s="10">
        <v>394328</v>
      </c>
      <c r="N7" s="10">
        <v>383285</v>
      </c>
      <c r="O7" s="10">
        <v>391035</v>
      </c>
      <c r="P7" s="10">
        <v>416161</v>
      </c>
      <c r="Q7" s="121">
        <f>P7*(1+'Key Drivers'!G7)</f>
        <v>468181.125</v>
      </c>
      <c r="R7" s="121">
        <f>Q7*(1+'Key Drivers'!H7)</f>
        <v>485737.91718750005</v>
      </c>
      <c r="S7" s="121">
        <f>R7*(1+'Key Drivers'!I7)</f>
        <v>503953.08908203134</v>
      </c>
      <c r="T7" s="121">
        <f>S7*(1+'Key Drivers'!J7)</f>
        <v>519071.68175449228</v>
      </c>
      <c r="U7" s="121">
        <f>T7*(1+'Key Drivers'!K7)</f>
        <v>542429.9074334444</v>
      </c>
      <c r="V7" s="122">
        <f>U7*(1+'Key Drivers'!L7)</f>
        <v>555990.65511928045</v>
      </c>
    </row>
    <row r="8" spans="1:22" ht="15" customHeight="1" x14ac:dyDescent="0.3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40"/>
      <c r="R8" s="40"/>
      <c r="S8" s="40"/>
      <c r="T8" s="40"/>
      <c r="U8" s="40"/>
      <c r="V8" s="65"/>
    </row>
    <row r="9" spans="1:22" ht="15" customHeight="1" x14ac:dyDescent="0.3">
      <c r="B9" s="9" t="s">
        <v>20</v>
      </c>
      <c r="C9" s="9"/>
      <c r="D9" s="9"/>
      <c r="E9" s="9"/>
      <c r="F9" s="9"/>
      <c r="G9" s="10">
        <v>131376</v>
      </c>
      <c r="H9" s="10">
        <v>141048</v>
      </c>
      <c r="I9" s="10">
        <v>163756</v>
      </c>
      <c r="J9" s="10">
        <v>161782</v>
      </c>
      <c r="K9" s="10">
        <v>169559</v>
      </c>
      <c r="L9" s="10">
        <v>212981</v>
      </c>
      <c r="M9" s="10">
        <v>223546</v>
      </c>
      <c r="N9" s="10">
        <v>214137</v>
      </c>
      <c r="O9" s="10">
        <v>210352</v>
      </c>
      <c r="P9" s="10">
        <v>220960</v>
      </c>
      <c r="Q9" s="121">
        <f>Q7*'Key Drivers'!G13</f>
        <v>243454.185</v>
      </c>
      <c r="R9" s="121">
        <f>R7*'Key Drivers'!H13</f>
        <v>252583.71693750002</v>
      </c>
      <c r="S9" s="121">
        <f>S7*'Key Drivers'!I13</f>
        <v>262055.6063226563</v>
      </c>
      <c r="T9" s="121">
        <f>T7*'Key Drivers'!J13</f>
        <v>269917.27451233601</v>
      </c>
      <c r="U9" s="121">
        <f>U7*'Key Drivers'!K13</f>
        <v>282063.55186539108</v>
      </c>
      <c r="V9" s="122">
        <f>V7*'Key Drivers'!L13</f>
        <v>289115.14066202583</v>
      </c>
    </row>
    <row r="10" spans="1:22" ht="15" customHeight="1" x14ac:dyDescent="0.3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7"/>
    </row>
    <row r="11" spans="1:22" ht="15" customHeight="1" x14ac:dyDescent="0.3">
      <c r="B11" s="9" t="s">
        <v>21</v>
      </c>
      <c r="C11" s="9"/>
      <c r="D11" s="9"/>
      <c r="E11" s="9"/>
      <c r="F11" s="9"/>
      <c r="G11" s="12">
        <f t="shared" ref="G11:O11" si="0">G7-G9</f>
        <v>84263</v>
      </c>
      <c r="H11" s="12">
        <f t="shared" si="0"/>
        <v>88186</v>
      </c>
      <c r="I11" s="12">
        <f t="shared" si="0"/>
        <v>101839</v>
      </c>
      <c r="J11" s="12">
        <f t="shared" si="0"/>
        <v>98392</v>
      </c>
      <c r="K11" s="12">
        <f t="shared" si="0"/>
        <v>104956</v>
      </c>
      <c r="L11" s="12">
        <f t="shared" si="0"/>
        <v>152836</v>
      </c>
      <c r="M11" s="12">
        <f t="shared" si="0"/>
        <v>170782</v>
      </c>
      <c r="N11" s="12">
        <f t="shared" si="0"/>
        <v>169148</v>
      </c>
      <c r="O11" s="12">
        <f t="shared" si="0"/>
        <v>180683</v>
      </c>
      <c r="P11" s="12">
        <f t="shared" ref="P11:V11" si="1">P7-P9</f>
        <v>195201</v>
      </c>
      <c r="Q11" s="121">
        <f t="shared" si="1"/>
        <v>224726.94</v>
      </c>
      <c r="R11" s="121">
        <f t="shared" si="1"/>
        <v>233154.20025000002</v>
      </c>
      <c r="S11" s="121">
        <f t="shared" si="1"/>
        <v>241897.48275937504</v>
      </c>
      <c r="T11" s="121">
        <f t="shared" si="1"/>
        <v>249154.40724215627</v>
      </c>
      <c r="U11" s="121">
        <f t="shared" si="1"/>
        <v>260366.35556805332</v>
      </c>
      <c r="V11" s="122">
        <f t="shared" si="1"/>
        <v>266875.51445725461</v>
      </c>
    </row>
    <row r="12" spans="1:22" ht="15" customHeight="1" x14ac:dyDescent="0.3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18"/>
    </row>
    <row r="13" spans="1:22" ht="15" customHeight="1" x14ac:dyDescent="0.3">
      <c r="B13" s="13" t="s">
        <v>22</v>
      </c>
      <c r="C13" s="13"/>
      <c r="D13" s="13"/>
      <c r="E13" s="13"/>
      <c r="F13" s="13"/>
      <c r="G13" s="14">
        <f t="shared" ref="G13:O13" si="2">G11/G7</f>
        <v>0.39075955648097049</v>
      </c>
      <c r="H13" s="14">
        <f t="shared" si="2"/>
        <v>0.38469860491899105</v>
      </c>
      <c r="I13" s="14">
        <f t="shared" si="2"/>
        <v>0.38343718820007905</v>
      </c>
      <c r="J13" s="14">
        <f t="shared" si="2"/>
        <v>0.37817768109034722</v>
      </c>
      <c r="K13" s="14">
        <f t="shared" si="2"/>
        <v>0.38233247727810865</v>
      </c>
      <c r="L13" s="14">
        <f t="shared" si="2"/>
        <v>0.41779359625167778</v>
      </c>
      <c r="M13" s="14">
        <f t="shared" si="2"/>
        <v>0.43309630561360085</v>
      </c>
      <c r="N13" s="14">
        <f t="shared" si="2"/>
        <v>0.44131129577207562</v>
      </c>
      <c r="O13" s="14">
        <f t="shared" si="2"/>
        <v>0.46206349815233932</v>
      </c>
      <c r="P13" s="14">
        <f t="shared" ref="P13:V13" si="3">P11/P7</f>
        <v>0.46905164107160452</v>
      </c>
      <c r="Q13" s="123">
        <f t="shared" si="3"/>
        <v>0.48</v>
      </c>
      <c r="R13" s="123">
        <f t="shared" si="3"/>
        <v>0.48</v>
      </c>
      <c r="S13" s="123">
        <f t="shared" si="3"/>
        <v>0.48</v>
      </c>
      <c r="T13" s="123">
        <f t="shared" si="3"/>
        <v>0.48</v>
      </c>
      <c r="U13" s="123">
        <f t="shared" si="3"/>
        <v>0.48</v>
      </c>
      <c r="V13" s="124">
        <f t="shared" si="3"/>
        <v>0.48</v>
      </c>
    </row>
    <row r="14" spans="1:22" ht="15" customHeight="1" x14ac:dyDescent="0.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18"/>
    </row>
    <row r="15" spans="1:22" ht="15" customHeight="1" x14ac:dyDescent="0.3">
      <c r="B15" s="9" t="s">
        <v>23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18"/>
    </row>
    <row r="16" spans="1:22" ht="15" customHeight="1" x14ac:dyDescent="0.3">
      <c r="B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18"/>
    </row>
    <row r="17" spans="2:26" ht="15" customHeight="1" x14ac:dyDescent="0.3">
      <c r="B17" s="9"/>
      <c r="C17" s="9" t="s">
        <v>24</v>
      </c>
      <c r="D17" s="9"/>
      <c r="E17" s="9"/>
      <c r="F17" s="9"/>
      <c r="G17" s="10">
        <v>14194</v>
      </c>
      <c r="H17" s="10">
        <v>15261</v>
      </c>
      <c r="I17" s="10">
        <v>16705</v>
      </c>
      <c r="J17" s="10">
        <v>18245</v>
      </c>
      <c r="K17" s="10">
        <v>19916</v>
      </c>
      <c r="L17" s="10">
        <v>21973</v>
      </c>
      <c r="M17" s="10">
        <v>25094</v>
      </c>
      <c r="N17" s="10">
        <v>24932</v>
      </c>
      <c r="O17" s="10">
        <v>26097</v>
      </c>
      <c r="P17" s="10">
        <v>27601</v>
      </c>
      <c r="Q17" s="121">
        <f>Q7*'Key Drivers'!G19</f>
        <v>30431.773125</v>
      </c>
      <c r="R17" s="121">
        <f>R7*'Key Drivers'!H19</f>
        <v>31572.964617187503</v>
      </c>
      <c r="S17" s="121">
        <f>S7*'Key Drivers'!I19</f>
        <v>32756.950790332037</v>
      </c>
      <c r="T17" s="121">
        <f>T7*'Key Drivers'!J19</f>
        <v>33739.659314042001</v>
      </c>
      <c r="U17" s="121">
        <f>U7*'Key Drivers'!K19</f>
        <v>35257.943983173885</v>
      </c>
      <c r="V17" s="122">
        <f>V7*'Key Drivers'!L19</f>
        <v>36139.392582753229</v>
      </c>
    </row>
    <row r="18" spans="2:26" ht="15" customHeight="1" x14ac:dyDescent="0.3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40"/>
      <c r="R18" s="40"/>
      <c r="S18" s="40"/>
      <c r="T18" s="40"/>
      <c r="U18" s="40"/>
      <c r="V18" s="65"/>
    </row>
    <row r="19" spans="2:26" ht="15" customHeight="1" x14ac:dyDescent="0.3">
      <c r="B19" s="9"/>
      <c r="C19" s="9" t="s">
        <v>25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40"/>
      <c r="R19" s="40"/>
      <c r="S19" s="40"/>
      <c r="T19" s="40"/>
      <c r="U19" s="40"/>
      <c r="V19" s="65"/>
    </row>
    <row r="20" spans="2:26" ht="15" customHeight="1" x14ac:dyDescent="0.3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40"/>
      <c r="R20" s="40"/>
      <c r="S20" s="40"/>
      <c r="T20" s="40"/>
      <c r="U20" s="40"/>
      <c r="V20" s="65"/>
    </row>
    <row r="21" spans="2:26" ht="15" customHeight="1" x14ac:dyDescent="0.3">
      <c r="B21" s="9"/>
      <c r="C21" s="9" t="s">
        <v>26</v>
      </c>
      <c r="D21" s="9"/>
      <c r="E21" s="9"/>
      <c r="F21" s="9"/>
      <c r="G21" s="10">
        <v>10045</v>
      </c>
      <c r="H21" s="10">
        <v>11581</v>
      </c>
      <c r="I21" s="10">
        <v>14236</v>
      </c>
      <c r="J21" s="10">
        <v>16217</v>
      </c>
      <c r="K21" s="10">
        <v>18752</v>
      </c>
      <c r="L21" s="10">
        <v>21914</v>
      </c>
      <c r="M21" s="10">
        <v>26251</v>
      </c>
      <c r="N21" s="10">
        <v>29915</v>
      </c>
      <c r="O21" s="10">
        <v>31370</v>
      </c>
      <c r="P21" s="10">
        <v>34550</v>
      </c>
      <c r="Q21" s="121">
        <f>Q7*'Key Drivers'!G25</f>
        <v>42136.301249999997</v>
      </c>
      <c r="R21" s="121">
        <f>R7*'Key Drivers'!H25</f>
        <v>43716.412546874999</v>
      </c>
      <c r="S21" s="121">
        <f>S7*'Key Drivers'!I25</f>
        <v>45355.778017382821</v>
      </c>
      <c r="T21" s="121">
        <f>T7*'Key Drivers'!J25</f>
        <v>46716.451357904305</v>
      </c>
      <c r="U21" s="121">
        <f>U7*'Key Drivers'!K25</f>
        <v>48818.691669009997</v>
      </c>
      <c r="V21" s="122">
        <f>V7*'Key Drivers'!L25</f>
        <v>50039.158960735236</v>
      </c>
    </row>
    <row r="22" spans="2:26" ht="15" customHeight="1" x14ac:dyDescent="0.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7"/>
    </row>
    <row r="23" spans="2:26" ht="15" customHeight="1" x14ac:dyDescent="0.3">
      <c r="B23" s="9" t="s">
        <v>27</v>
      </c>
      <c r="C23" s="9"/>
      <c r="D23" s="9"/>
      <c r="E23" s="9"/>
      <c r="F23" s="9"/>
      <c r="G23" s="12">
        <f t="shared" ref="G23:O23" si="4">SUM(G17,G19,G21)</f>
        <v>24239</v>
      </c>
      <c r="H23" s="12">
        <f t="shared" si="4"/>
        <v>26842</v>
      </c>
      <c r="I23" s="12">
        <f t="shared" si="4"/>
        <v>30941</v>
      </c>
      <c r="J23" s="12">
        <f t="shared" si="4"/>
        <v>34462</v>
      </c>
      <c r="K23" s="12">
        <f t="shared" si="4"/>
        <v>38668</v>
      </c>
      <c r="L23" s="12">
        <f t="shared" si="4"/>
        <v>43887</v>
      </c>
      <c r="M23" s="12">
        <f t="shared" si="4"/>
        <v>51345</v>
      </c>
      <c r="N23" s="12">
        <f t="shared" si="4"/>
        <v>54847</v>
      </c>
      <c r="O23" s="12">
        <f t="shared" si="4"/>
        <v>57467</v>
      </c>
      <c r="P23" s="12">
        <f t="shared" ref="P23:V23" si="5">SUM(P17,P19,P21)</f>
        <v>62151</v>
      </c>
      <c r="Q23" s="121">
        <f t="shared" si="5"/>
        <v>72568.074374999997</v>
      </c>
      <c r="R23" s="121">
        <f t="shared" si="5"/>
        <v>75289.377164062505</v>
      </c>
      <c r="S23" s="121">
        <f t="shared" si="5"/>
        <v>78112.728807714855</v>
      </c>
      <c r="T23" s="121">
        <f t="shared" si="5"/>
        <v>80456.110671946313</v>
      </c>
      <c r="U23" s="121">
        <f t="shared" si="5"/>
        <v>84076.635652183875</v>
      </c>
      <c r="V23" s="122">
        <f t="shared" si="5"/>
        <v>86178.551543488458</v>
      </c>
    </row>
    <row r="24" spans="2:26" ht="15" customHeight="1" x14ac:dyDescent="0.3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18"/>
    </row>
    <row r="25" spans="2:26" ht="15" customHeight="1" x14ac:dyDescent="0.3">
      <c r="B25" s="9" t="s">
        <v>28</v>
      </c>
      <c r="C25" s="9"/>
      <c r="D25" s="9"/>
      <c r="E25" s="9"/>
      <c r="F25" s="9"/>
      <c r="G25" s="10">
        <v>-1195</v>
      </c>
      <c r="H25" s="10">
        <v>-133</v>
      </c>
      <c r="I25" s="10">
        <v>-441</v>
      </c>
      <c r="J25" s="10">
        <v>422</v>
      </c>
      <c r="K25" s="10">
        <v>-87</v>
      </c>
      <c r="L25" s="10">
        <v>60</v>
      </c>
      <c r="M25" s="10">
        <v>-228</v>
      </c>
      <c r="N25" s="10">
        <v>-382</v>
      </c>
      <c r="O25" s="10">
        <v>269</v>
      </c>
      <c r="P25" s="10">
        <v>-321</v>
      </c>
      <c r="Q25" s="119">
        <v>1000</v>
      </c>
      <c r="R25" s="119">
        <v>700</v>
      </c>
      <c r="S25" s="119">
        <v>400</v>
      </c>
      <c r="T25" s="119">
        <v>200</v>
      </c>
      <c r="U25" s="119">
        <v>0</v>
      </c>
      <c r="V25" s="120">
        <v>0</v>
      </c>
      <c r="Z25"/>
    </row>
    <row r="26" spans="2:26" ht="15" customHeight="1" x14ac:dyDescent="0.3">
      <c r="B26" s="11"/>
      <c r="C26" s="11"/>
      <c r="D26" s="11"/>
      <c r="E26" s="11"/>
      <c r="F26" s="11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11"/>
      <c r="R26" s="67"/>
      <c r="S26" s="11"/>
      <c r="T26" s="11"/>
      <c r="U26" s="11"/>
      <c r="V26" s="117"/>
      <c r="Z26" s="68"/>
    </row>
    <row r="27" spans="2:26" ht="15" customHeight="1" x14ac:dyDescent="0.3">
      <c r="B27" s="9" t="s">
        <v>29</v>
      </c>
      <c r="C27" s="9"/>
      <c r="D27" s="9"/>
      <c r="E27" s="9"/>
      <c r="F27" s="9"/>
      <c r="G27" s="12">
        <f t="shared" ref="G27:O27" si="6">G11-G23+G25+G31</f>
        <v>69334</v>
      </c>
      <c r="H27" s="12">
        <f t="shared" si="6"/>
        <v>71368</v>
      </c>
      <c r="I27" s="12">
        <f t="shared" si="6"/>
        <v>81360</v>
      </c>
      <c r="J27" s="12">
        <f t="shared" si="6"/>
        <v>76899</v>
      </c>
      <c r="K27" s="12">
        <f t="shared" si="6"/>
        <v>77257</v>
      </c>
      <c r="L27" s="12">
        <f t="shared" si="6"/>
        <v>120293</v>
      </c>
      <c r="M27" s="12">
        <f t="shared" si="6"/>
        <v>130313</v>
      </c>
      <c r="N27" s="12">
        <f t="shared" si="6"/>
        <v>125438</v>
      </c>
      <c r="O27" s="12">
        <f t="shared" si="6"/>
        <v>134930</v>
      </c>
      <c r="P27" s="12">
        <f t="shared" ref="P27:V27" si="7">P11-P23+P25+P31</f>
        <v>144427</v>
      </c>
      <c r="Q27" s="121">
        <f t="shared" si="7"/>
        <v>165512.3192</v>
      </c>
      <c r="R27" s="121">
        <f t="shared" si="7"/>
        <v>172253.76332000003</v>
      </c>
      <c r="S27" s="121">
        <f t="shared" si="7"/>
        <v>179259.26159450001</v>
      </c>
      <c r="T27" s="121">
        <f t="shared" si="7"/>
        <v>185405.03889222094</v>
      </c>
      <c r="U27" s="121">
        <f t="shared" si="7"/>
        <v>194282.56446274352</v>
      </c>
      <c r="V27" s="122">
        <f t="shared" si="7"/>
        <v>198689.80746064024</v>
      </c>
      <c r="Z27" s="69"/>
    </row>
    <row r="28" spans="2:26" ht="15" customHeight="1" x14ac:dyDescent="0.3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18"/>
      <c r="Z28" s="69"/>
    </row>
    <row r="29" spans="2:26" ht="15" customHeight="1" x14ac:dyDescent="0.3">
      <c r="B29" s="13" t="s">
        <v>30</v>
      </c>
      <c r="C29" s="13"/>
      <c r="D29" s="13"/>
      <c r="E29" s="13"/>
      <c r="F29" s="13"/>
      <c r="G29" s="14">
        <f t="shared" ref="G29:O29" si="8">G27/G7</f>
        <v>0.32152810947926858</v>
      </c>
      <c r="H29" s="14">
        <f t="shared" si="8"/>
        <v>0.31133252484360957</v>
      </c>
      <c r="I29" s="14">
        <f t="shared" si="8"/>
        <v>0.30633106797944237</v>
      </c>
      <c r="J29" s="14">
        <f t="shared" si="8"/>
        <v>0.29556758169532699</v>
      </c>
      <c r="K29" s="14">
        <f t="shared" si="8"/>
        <v>0.28143088720106368</v>
      </c>
      <c r="L29" s="14">
        <f t="shared" si="8"/>
        <v>0.32883381581501131</v>
      </c>
      <c r="M29" s="14">
        <f t="shared" si="8"/>
        <v>0.3304685439532572</v>
      </c>
      <c r="N29" s="14">
        <f t="shared" si="8"/>
        <v>0.32727082980027916</v>
      </c>
      <c r="O29" s="14">
        <f t="shared" si="8"/>
        <v>0.34505862646566166</v>
      </c>
      <c r="P29" s="14">
        <f t="shared" ref="P29:V29" si="9">P27/P7</f>
        <v>0.34704597499525425</v>
      </c>
      <c r="Q29" s="123">
        <f t="shared" si="9"/>
        <v>0.35352198190390527</v>
      </c>
      <c r="R29" s="123">
        <f t="shared" si="9"/>
        <v>0.35462284747580913</v>
      </c>
      <c r="S29" s="123">
        <f t="shared" si="9"/>
        <v>0.35570624623221819</v>
      </c>
      <c r="T29" s="123">
        <f t="shared" si="9"/>
        <v>0.35718580960830149</v>
      </c>
      <c r="U29" s="123">
        <f t="shared" si="9"/>
        <v>0.35817081949262136</v>
      </c>
      <c r="V29" s="124">
        <f t="shared" si="9"/>
        <v>0.35736177511475253</v>
      </c>
      <c r="Z29" s="69"/>
    </row>
    <row r="30" spans="2:26" ht="15" customHeight="1" x14ac:dyDescent="0.3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18"/>
    </row>
    <row r="31" spans="2:26" ht="15" customHeight="1" x14ac:dyDescent="0.3">
      <c r="B31" s="9" t="s">
        <v>31</v>
      </c>
      <c r="C31" s="9"/>
      <c r="D31" s="9"/>
      <c r="E31" s="9"/>
      <c r="F31" s="9"/>
      <c r="G31" s="10">
        <v>10505</v>
      </c>
      <c r="H31" s="10">
        <v>10157</v>
      </c>
      <c r="I31" s="10">
        <v>10903</v>
      </c>
      <c r="J31" s="10">
        <v>12547</v>
      </c>
      <c r="K31" s="10">
        <v>11056</v>
      </c>
      <c r="L31" s="10">
        <v>11284</v>
      </c>
      <c r="M31" s="10">
        <v>11104</v>
      </c>
      <c r="N31" s="10">
        <v>11519</v>
      </c>
      <c r="O31" s="10">
        <v>11445</v>
      </c>
      <c r="P31" s="10">
        <v>11698</v>
      </c>
      <c r="Q31" s="121">
        <f>Schedules!H56</f>
        <v>12353.453575</v>
      </c>
      <c r="R31" s="121">
        <f>Schedules!I56</f>
        <v>13688.940234062498</v>
      </c>
      <c r="S31" s="121">
        <f>Schedules!J56</f>
        <v>15074.507642839842</v>
      </c>
      <c r="T31" s="121">
        <f>Schedules!K56</f>
        <v>16506.742322010978</v>
      </c>
      <c r="U31" s="121">
        <f>Schedules!L56</f>
        <v>17992.844546874087</v>
      </c>
      <c r="V31" s="122">
        <f>U31</f>
        <v>17992.844546874087</v>
      </c>
    </row>
    <row r="32" spans="2:26" ht="15" customHeight="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7"/>
    </row>
    <row r="33" spans="2:22" ht="15" customHeight="1" x14ac:dyDescent="0.3">
      <c r="B33" s="9" t="s">
        <v>32</v>
      </c>
      <c r="C33" s="9"/>
      <c r="D33" s="9"/>
      <c r="E33" s="9"/>
      <c r="F33" s="9"/>
      <c r="G33" s="12">
        <f t="shared" ref="G33:O33" si="10">G27-G31</f>
        <v>58829</v>
      </c>
      <c r="H33" s="12">
        <f t="shared" si="10"/>
        <v>61211</v>
      </c>
      <c r="I33" s="12">
        <f t="shared" si="10"/>
        <v>70457</v>
      </c>
      <c r="J33" s="12">
        <f t="shared" si="10"/>
        <v>64352</v>
      </c>
      <c r="K33" s="12">
        <f t="shared" si="10"/>
        <v>66201</v>
      </c>
      <c r="L33" s="12">
        <f t="shared" si="10"/>
        <v>109009</v>
      </c>
      <c r="M33" s="12">
        <f t="shared" si="10"/>
        <v>119209</v>
      </c>
      <c r="N33" s="12">
        <f t="shared" si="10"/>
        <v>113919</v>
      </c>
      <c r="O33" s="12">
        <f t="shared" si="10"/>
        <v>123485</v>
      </c>
      <c r="P33" s="12">
        <f t="shared" ref="P33:V33" si="11">P27-P31</f>
        <v>132729</v>
      </c>
      <c r="Q33" s="121">
        <f t="shared" si="11"/>
        <v>153158.86562500001</v>
      </c>
      <c r="R33" s="121">
        <f t="shared" si="11"/>
        <v>158564.82308593753</v>
      </c>
      <c r="S33" s="121">
        <f t="shared" si="11"/>
        <v>164184.75395166018</v>
      </c>
      <c r="T33" s="121">
        <f t="shared" si="11"/>
        <v>168898.29657020996</v>
      </c>
      <c r="U33" s="121">
        <f t="shared" si="11"/>
        <v>176289.71991586944</v>
      </c>
      <c r="V33" s="122">
        <f t="shared" si="11"/>
        <v>180696.96291376615</v>
      </c>
    </row>
    <row r="34" spans="2:22" ht="15" customHeight="1" x14ac:dyDescent="0.3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18"/>
    </row>
    <row r="35" spans="2:22" ht="15" customHeight="1" x14ac:dyDescent="0.3">
      <c r="B35" s="13" t="s">
        <v>33</v>
      </c>
      <c r="C35" s="13"/>
      <c r="D35" s="13"/>
      <c r="E35" s="13"/>
      <c r="F35" s="13"/>
      <c r="G35" s="14">
        <f t="shared" ref="G35:O35" si="12">G33/G7</f>
        <v>0.27281243188848031</v>
      </c>
      <c r="H35" s="14">
        <f t="shared" si="12"/>
        <v>0.26702408892223667</v>
      </c>
      <c r="I35" s="14">
        <f t="shared" si="12"/>
        <v>0.26527984337054539</v>
      </c>
      <c r="J35" s="14">
        <f t="shared" si="12"/>
        <v>0.24734216332146947</v>
      </c>
      <c r="K35" s="14">
        <f t="shared" si="12"/>
        <v>0.24115622097153161</v>
      </c>
      <c r="L35" s="14">
        <f t="shared" si="12"/>
        <v>0.29798779171006268</v>
      </c>
      <c r="M35" s="14">
        <f t="shared" si="12"/>
        <v>0.30230924509545354</v>
      </c>
      <c r="N35" s="14">
        <f t="shared" si="12"/>
        <v>0.29721747524687897</v>
      </c>
      <c r="O35" s="14">
        <f t="shared" si="12"/>
        <v>0.31579014666206351</v>
      </c>
      <c r="P35" s="14">
        <f t="shared" ref="P35:V35" si="13">P33/P7</f>
        <v>0.31893666153243577</v>
      </c>
      <c r="Q35" s="123">
        <f t="shared" si="13"/>
        <v>0.32713592549251108</v>
      </c>
      <c r="R35" s="123">
        <f t="shared" si="13"/>
        <v>0.32644110635639301</v>
      </c>
      <c r="S35" s="123">
        <f t="shared" si="13"/>
        <v>0.32579372467133522</v>
      </c>
      <c r="T35" s="123">
        <f t="shared" si="13"/>
        <v>0.32538530323851217</v>
      </c>
      <c r="U35" s="123">
        <f t="shared" si="13"/>
        <v>0.32500000000000001</v>
      </c>
      <c r="V35" s="124">
        <f t="shared" si="13"/>
        <v>0.32500000000000001</v>
      </c>
    </row>
    <row r="36" spans="2:22" ht="15" customHeight="1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118"/>
    </row>
    <row r="37" spans="2:22" ht="15" customHeight="1" x14ac:dyDescent="0.3">
      <c r="B37" s="9" t="s">
        <v>34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18"/>
    </row>
    <row r="38" spans="2:22" ht="15" customHeight="1" x14ac:dyDescent="0.3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18"/>
    </row>
    <row r="39" spans="2:22" ht="15" customHeight="1" x14ac:dyDescent="0.3">
      <c r="B39" s="9"/>
      <c r="C39" s="9" t="s">
        <v>35</v>
      </c>
      <c r="D39" s="9"/>
      <c r="E39" s="9"/>
      <c r="F39" s="9"/>
      <c r="G39" s="10">
        <v>3999</v>
      </c>
      <c r="H39" s="10">
        <v>5201</v>
      </c>
      <c r="I39" s="10">
        <v>5686</v>
      </c>
      <c r="J39" s="10">
        <v>4961</v>
      </c>
      <c r="K39" s="10">
        <v>3763</v>
      </c>
      <c r="L39" s="10">
        <v>2843</v>
      </c>
      <c r="M39" s="10">
        <v>2825</v>
      </c>
      <c r="N39" s="10">
        <v>3750</v>
      </c>
      <c r="O39" s="40"/>
      <c r="P39" s="40"/>
      <c r="Q39" s="121">
        <f t="shared" ref="Q39:V39" ca="1" si="14">IF(CircularitySwitch="ON",0.025*SUM(Q145,Q151),0.025*SUM(P145,Q151))</f>
        <v>3501.5759638929071</v>
      </c>
      <c r="R39" s="121">
        <f t="shared" ca="1" si="14"/>
        <v>4038.9811593646828</v>
      </c>
      <c r="S39" s="121">
        <f t="shared" ca="1" si="14"/>
        <v>4695.0765798480779</v>
      </c>
      <c r="T39" s="121">
        <f t="shared" ca="1" si="14"/>
        <v>5412.6574667919476</v>
      </c>
      <c r="U39" s="121">
        <f t="shared" ca="1" si="14"/>
        <v>6370.9709160497914</v>
      </c>
      <c r="V39" s="121">
        <f t="shared" ca="1" si="14"/>
        <v>7285.7090768244861</v>
      </c>
    </row>
    <row r="40" spans="2:22" ht="15" customHeight="1" x14ac:dyDescent="0.3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40"/>
      <c r="P40" s="40"/>
      <c r="Q40" s="9"/>
      <c r="R40" s="9"/>
      <c r="S40" s="9"/>
      <c r="T40" s="9"/>
      <c r="U40" s="9"/>
      <c r="V40" s="118"/>
    </row>
    <row r="41" spans="2:22" ht="15" customHeight="1" x14ac:dyDescent="0.3">
      <c r="B41" s="9"/>
      <c r="C41" s="9" t="s">
        <v>36</v>
      </c>
      <c r="D41" s="9"/>
      <c r="E41" s="9"/>
      <c r="F41" s="9"/>
      <c r="G41" s="10">
        <v>-1456</v>
      </c>
      <c r="H41" s="10">
        <v>-2323</v>
      </c>
      <c r="I41" s="10">
        <v>-3240</v>
      </c>
      <c r="J41" s="10">
        <v>-3576</v>
      </c>
      <c r="K41" s="10">
        <v>-2873</v>
      </c>
      <c r="L41" s="10">
        <v>-2645</v>
      </c>
      <c r="M41" s="10">
        <v>-2931</v>
      </c>
      <c r="N41" s="10">
        <v>-3933</v>
      </c>
      <c r="O41" s="40"/>
      <c r="P41" s="40"/>
      <c r="Q41" s="121">
        <f t="shared" ref="Q41:V41" si="15">-0.04*SUM(Q175,Q183)</f>
        <v>-3946.28</v>
      </c>
      <c r="R41" s="121">
        <f t="shared" si="15"/>
        <v>-3946.28</v>
      </c>
      <c r="S41" s="121">
        <f t="shared" si="15"/>
        <v>-3946.28</v>
      </c>
      <c r="T41" s="121">
        <f t="shared" si="15"/>
        <v>-3946.28</v>
      </c>
      <c r="U41" s="121">
        <f t="shared" si="15"/>
        <v>-3946.28</v>
      </c>
      <c r="V41" s="122">
        <f t="shared" si="15"/>
        <v>-3946.28</v>
      </c>
    </row>
    <row r="42" spans="2:22" ht="15" customHeight="1" x14ac:dyDescent="0.3">
      <c r="B42" s="11"/>
      <c r="C42" s="11"/>
      <c r="D42" s="11"/>
      <c r="E42" s="11"/>
      <c r="F42" s="11"/>
      <c r="G42" s="70"/>
      <c r="H42" s="70"/>
      <c r="I42" s="70"/>
      <c r="J42" s="70"/>
      <c r="K42" s="70"/>
      <c r="L42" s="70"/>
      <c r="M42" s="70"/>
      <c r="N42" s="70"/>
      <c r="O42" s="11"/>
      <c r="P42" s="11"/>
      <c r="Q42" s="11"/>
      <c r="R42" s="11"/>
      <c r="S42" s="11"/>
      <c r="T42" s="11"/>
      <c r="U42" s="11"/>
      <c r="V42" s="117"/>
    </row>
    <row r="43" spans="2:22" ht="15" customHeight="1" x14ac:dyDescent="0.3">
      <c r="B43" s="9" t="s">
        <v>37</v>
      </c>
      <c r="C43" s="9"/>
      <c r="D43" s="9"/>
      <c r="E43" s="9"/>
      <c r="F43" s="9"/>
      <c r="G43" s="12">
        <f t="shared" ref="G43:O43" si="16">G39+G41</f>
        <v>2543</v>
      </c>
      <c r="H43" s="12">
        <f t="shared" si="16"/>
        <v>2878</v>
      </c>
      <c r="I43" s="12">
        <f t="shared" si="16"/>
        <v>2446</v>
      </c>
      <c r="J43" s="12">
        <f t="shared" si="16"/>
        <v>1385</v>
      </c>
      <c r="K43" s="12">
        <f t="shared" si="16"/>
        <v>890</v>
      </c>
      <c r="L43" s="12">
        <f t="shared" si="16"/>
        <v>198</v>
      </c>
      <c r="M43" s="12">
        <f t="shared" si="16"/>
        <v>-106</v>
      </c>
      <c r="N43" s="12">
        <f t="shared" si="16"/>
        <v>-183</v>
      </c>
      <c r="O43" s="12">
        <f t="shared" si="16"/>
        <v>0</v>
      </c>
      <c r="P43" s="12">
        <f t="shared" ref="P43:V43" si="17">P39+P41</f>
        <v>0</v>
      </c>
      <c r="Q43" s="121">
        <f t="shared" ca="1" si="17"/>
        <v>-444.70403610709309</v>
      </c>
      <c r="R43" s="121">
        <f t="shared" ca="1" si="17"/>
        <v>92.701159364682553</v>
      </c>
      <c r="S43" s="121">
        <f t="shared" ca="1" si="17"/>
        <v>748.79657984807773</v>
      </c>
      <c r="T43" s="121">
        <f t="shared" ca="1" si="17"/>
        <v>1466.3774667919474</v>
      </c>
      <c r="U43" s="121">
        <f t="shared" ca="1" si="17"/>
        <v>2424.6909160497912</v>
      </c>
      <c r="V43" s="122">
        <f t="shared" ca="1" si="17"/>
        <v>3339.4290768244859</v>
      </c>
    </row>
    <row r="44" spans="2:22" ht="15" customHeight="1" x14ac:dyDescent="0.3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7"/>
    </row>
    <row r="45" spans="2:22" ht="15" customHeight="1" x14ac:dyDescent="0.3">
      <c r="B45" s="9" t="s">
        <v>38</v>
      </c>
      <c r="C45" s="9"/>
      <c r="D45" s="9"/>
      <c r="E45" s="9"/>
      <c r="F45" s="9"/>
      <c r="G45" s="12">
        <f t="shared" ref="G45:O45" si="18">G33+G43</f>
        <v>61372</v>
      </c>
      <c r="H45" s="12">
        <f t="shared" si="18"/>
        <v>64089</v>
      </c>
      <c r="I45" s="12">
        <f t="shared" si="18"/>
        <v>72903</v>
      </c>
      <c r="J45" s="12">
        <f t="shared" si="18"/>
        <v>65737</v>
      </c>
      <c r="K45" s="12">
        <f t="shared" si="18"/>
        <v>67091</v>
      </c>
      <c r="L45" s="12">
        <f t="shared" si="18"/>
        <v>109207</v>
      </c>
      <c r="M45" s="12">
        <f t="shared" si="18"/>
        <v>119103</v>
      </c>
      <c r="N45" s="12">
        <f t="shared" si="18"/>
        <v>113736</v>
      </c>
      <c r="O45" s="12">
        <f t="shared" si="18"/>
        <v>123485</v>
      </c>
      <c r="P45" s="12">
        <f t="shared" ref="P45:V45" si="19">P33+P43</f>
        <v>132729</v>
      </c>
      <c r="Q45" s="121">
        <f t="shared" ca="1" si="19"/>
        <v>152714.16158889292</v>
      </c>
      <c r="R45" s="121">
        <f t="shared" ca="1" si="19"/>
        <v>158657.52424530222</v>
      </c>
      <c r="S45" s="121">
        <f t="shared" ca="1" si="19"/>
        <v>164933.55053150826</v>
      </c>
      <c r="T45" s="121">
        <f t="shared" ca="1" si="19"/>
        <v>170364.67403700191</v>
      </c>
      <c r="U45" s="121">
        <f t="shared" ca="1" si="19"/>
        <v>178714.41083191923</v>
      </c>
      <c r="V45" s="122">
        <f t="shared" ca="1" si="19"/>
        <v>184036.39199059064</v>
      </c>
    </row>
    <row r="46" spans="2:22" ht="15" customHeight="1" x14ac:dyDescent="0.3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118"/>
    </row>
    <row r="47" spans="2:22" ht="15" customHeight="1" x14ac:dyDescent="0.3">
      <c r="B47" s="13" t="s">
        <v>39</v>
      </c>
      <c r="C47" s="13"/>
      <c r="D47" s="13"/>
      <c r="E47" s="13"/>
      <c r="F47" s="13"/>
      <c r="G47" s="14">
        <f t="shared" ref="G47:O47" si="20">G45/G7</f>
        <v>0.28460528939570301</v>
      </c>
      <c r="H47" s="14">
        <f t="shared" si="20"/>
        <v>0.27957894553164014</v>
      </c>
      <c r="I47" s="14">
        <f t="shared" si="20"/>
        <v>0.27448935409175623</v>
      </c>
      <c r="J47" s="14">
        <f t="shared" si="20"/>
        <v>0.25266552384173668</v>
      </c>
      <c r="K47" s="14">
        <f t="shared" si="20"/>
        <v>0.24439830246070343</v>
      </c>
      <c r="L47" s="14">
        <f t="shared" si="20"/>
        <v>0.29852904594373691</v>
      </c>
      <c r="M47" s="14">
        <f t="shared" si="20"/>
        <v>0.30204043334482966</v>
      </c>
      <c r="N47" s="14">
        <f t="shared" si="20"/>
        <v>0.29674002374212399</v>
      </c>
      <c r="O47" s="14">
        <f t="shared" si="20"/>
        <v>0.31579014666206351</v>
      </c>
      <c r="P47" s="14">
        <f t="shared" ref="P47:V47" si="21">P45/P7</f>
        <v>0.31893666153243577</v>
      </c>
      <c r="Q47" s="123">
        <f t="shared" ca="1" si="21"/>
        <v>0.32618607080516737</v>
      </c>
      <c r="R47" s="123">
        <f t="shared" ca="1" si="21"/>
        <v>0.32663195239925796</v>
      </c>
      <c r="S47" s="123">
        <f t="shared" ca="1" si="21"/>
        <v>0.32727957046942729</v>
      </c>
      <c r="T47" s="123">
        <f t="shared" ca="1" si="21"/>
        <v>0.32821030317269373</v>
      </c>
      <c r="U47" s="123">
        <f t="shared" ca="1" si="21"/>
        <v>0.3294700538868191</v>
      </c>
      <c r="V47" s="124">
        <f t="shared" ca="1" si="21"/>
        <v>0.33100626835375146</v>
      </c>
    </row>
    <row r="48" spans="2:22" ht="15" customHeight="1" x14ac:dyDescent="0.3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118"/>
    </row>
    <row r="49" spans="2:22" ht="15" customHeight="1" x14ac:dyDescent="0.3">
      <c r="B49" s="9" t="s">
        <v>40</v>
      </c>
      <c r="C49" s="9"/>
      <c r="D49" s="9"/>
      <c r="E49" s="9"/>
      <c r="F49" s="9"/>
      <c r="G49" s="10">
        <v>15685</v>
      </c>
      <c r="H49" s="10">
        <v>15738</v>
      </c>
      <c r="I49" s="10">
        <v>13372</v>
      </c>
      <c r="J49" s="10">
        <v>10481</v>
      </c>
      <c r="K49" s="10">
        <v>9680</v>
      </c>
      <c r="L49" s="10">
        <v>14527</v>
      </c>
      <c r="M49" s="10">
        <v>19300</v>
      </c>
      <c r="N49" s="10">
        <v>16741</v>
      </c>
      <c r="O49" s="10">
        <v>29749</v>
      </c>
      <c r="P49" s="10">
        <v>20719</v>
      </c>
      <c r="Q49" s="121">
        <f ca="1">Q45*'Key Drivers'!G31</f>
        <v>25961.407470111797</v>
      </c>
      <c r="R49" s="121">
        <f ca="1">R45*'Key Drivers'!H31</f>
        <v>26971.77912170138</v>
      </c>
      <c r="S49" s="121">
        <f ca="1">S45*'Key Drivers'!I31</f>
        <v>28038.703590356406</v>
      </c>
      <c r="T49" s="121">
        <f ca="1">T45*'Key Drivers'!J31</f>
        <v>28961.994586290326</v>
      </c>
      <c r="U49" s="121">
        <f ca="1">U45*'Key Drivers'!K31</f>
        <v>30381.449841426271</v>
      </c>
      <c r="V49" s="122">
        <f ca="1">V45*'Key Drivers'!L31</f>
        <v>31286.18663840041</v>
      </c>
    </row>
    <row r="50" spans="2:22" ht="15" customHeight="1" x14ac:dyDescent="0.3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7"/>
    </row>
    <row r="51" spans="2:22" ht="15" customHeight="1" x14ac:dyDescent="0.3">
      <c r="B51" s="9" t="s">
        <v>41</v>
      </c>
      <c r="C51" s="9"/>
      <c r="D51" s="9"/>
      <c r="E51" s="9"/>
      <c r="F51" s="9"/>
      <c r="G51" s="12">
        <f t="shared" ref="G51:P51" si="22">G45-G49</f>
        <v>45687</v>
      </c>
      <c r="H51" s="12">
        <f t="shared" si="22"/>
        <v>48351</v>
      </c>
      <c r="I51" s="12">
        <f t="shared" si="22"/>
        <v>59531</v>
      </c>
      <c r="J51" s="12">
        <f t="shared" si="22"/>
        <v>55256</v>
      </c>
      <c r="K51" s="12">
        <f t="shared" si="22"/>
        <v>57411</v>
      </c>
      <c r="L51" s="12">
        <f t="shared" si="22"/>
        <v>94680</v>
      </c>
      <c r="M51" s="12">
        <f t="shared" si="22"/>
        <v>99803</v>
      </c>
      <c r="N51" s="12">
        <f t="shared" si="22"/>
        <v>96995</v>
      </c>
      <c r="O51" s="12">
        <f t="shared" si="22"/>
        <v>93736</v>
      </c>
      <c r="P51" s="12">
        <f t="shared" si="22"/>
        <v>112010</v>
      </c>
      <c r="Q51" s="12">
        <f t="shared" ref="Q51:V51" ca="1" si="23">Q45-Q49</f>
        <v>126752.75411878113</v>
      </c>
      <c r="R51" s="121">
        <f t="shared" ca="1" si="23"/>
        <v>131685.74512360085</v>
      </c>
      <c r="S51" s="121">
        <f t="shared" ca="1" si="23"/>
        <v>136894.84694115186</v>
      </c>
      <c r="T51" s="121">
        <f t="shared" ca="1" si="23"/>
        <v>141402.67945071158</v>
      </c>
      <c r="U51" s="121">
        <f t="shared" ca="1" si="23"/>
        <v>148332.96099049295</v>
      </c>
      <c r="V51" s="122">
        <f t="shared" ca="1" si="23"/>
        <v>152750.20535219024</v>
      </c>
    </row>
    <row r="52" spans="2:22" ht="15" customHeight="1" x14ac:dyDescent="0.3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18"/>
    </row>
    <row r="53" spans="2:22" ht="15" customHeight="1" x14ac:dyDescent="0.3">
      <c r="B53" s="9" t="s">
        <v>42</v>
      </c>
      <c r="C53" s="9"/>
      <c r="D53" s="9"/>
      <c r="E53" s="9"/>
      <c r="F53" s="9"/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19">
        <v>0</v>
      </c>
      <c r="R53" s="119">
        <v>0</v>
      </c>
      <c r="S53" s="119">
        <v>0</v>
      </c>
      <c r="T53" s="119">
        <v>0</v>
      </c>
      <c r="U53" s="119">
        <v>0</v>
      </c>
      <c r="V53" s="120">
        <v>0</v>
      </c>
    </row>
    <row r="54" spans="2:22" ht="15" customHeight="1" x14ac:dyDescent="0.3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40"/>
      <c r="R54" s="40"/>
      <c r="S54" s="40"/>
      <c r="T54" s="40"/>
      <c r="U54" s="40"/>
      <c r="V54" s="65"/>
    </row>
    <row r="55" spans="2:22" ht="15" customHeight="1" x14ac:dyDescent="0.3">
      <c r="B55" s="9" t="s">
        <v>43</v>
      </c>
      <c r="C55" s="9"/>
      <c r="D55" s="9"/>
      <c r="E55" s="9"/>
      <c r="F55" s="9"/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19">
        <v>0</v>
      </c>
      <c r="R55" s="119">
        <v>0</v>
      </c>
      <c r="S55" s="119">
        <v>0</v>
      </c>
      <c r="T55" s="119">
        <v>0</v>
      </c>
      <c r="U55" s="119">
        <v>0</v>
      </c>
      <c r="V55" s="120">
        <v>0</v>
      </c>
    </row>
    <row r="56" spans="2:22" ht="15" customHeight="1" x14ac:dyDescent="0.3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7"/>
    </row>
    <row r="57" spans="2:22" ht="15" customHeight="1" x14ac:dyDescent="0.3">
      <c r="B57" s="15" t="s">
        <v>44</v>
      </c>
      <c r="C57" s="15"/>
      <c r="D57" s="15"/>
      <c r="E57" s="15"/>
      <c r="F57" s="15"/>
      <c r="G57" s="16">
        <f t="shared" ref="G57:O57" si="24">SUM(G51,G53,G55)</f>
        <v>45687</v>
      </c>
      <c r="H57" s="16">
        <f t="shared" si="24"/>
        <v>48351</v>
      </c>
      <c r="I57" s="16">
        <f t="shared" si="24"/>
        <v>59531</v>
      </c>
      <c r="J57" s="16">
        <f t="shared" si="24"/>
        <v>55256</v>
      </c>
      <c r="K57" s="16">
        <f t="shared" si="24"/>
        <v>57411</v>
      </c>
      <c r="L57" s="16">
        <f t="shared" si="24"/>
        <v>94680</v>
      </c>
      <c r="M57" s="16">
        <f t="shared" si="24"/>
        <v>99803</v>
      </c>
      <c r="N57" s="16">
        <f t="shared" si="24"/>
        <v>96995</v>
      </c>
      <c r="O57" s="16">
        <f t="shared" si="24"/>
        <v>93736</v>
      </c>
      <c r="P57" s="16">
        <f t="shared" ref="P57:V57" si="25">SUM(P51,P53,P55)</f>
        <v>112010</v>
      </c>
      <c r="Q57" s="125">
        <f t="shared" ca="1" si="25"/>
        <v>126752.75411878113</v>
      </c>
      <c r="R57" s="125">
        <f t="shared" ca="1" si="25"/>
        <v>131685.74512360085</v>
      </c>
      <c r="S57" s="125">
        <f t="shared" ca="1" si="25"/>
        <v>136894.84694115186</v>
      </c>
      <c r="T57" s="125">
        <f t="shared" ca="1" si="25"/>
        <v>141402.67945071158</v>
      </c>
      <c r="U57" s="125">
        <f t="shared" ca="1" si="25"/>
        <v>148332.96099049295</v>
      </c>
      <c r="V57" s="126">
        <f t="shared" ca="1" si="25"/>
        <v>152750.20535219024</v>
      </c>
    </row>
    <row r="58" spans="2:22" ht="15" customHeight="1" x14ac:dyDescent="0.3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18"/>
    </row>
    <row r="59" spans="2:22" ht="15" customHeight="1" x14ac:dyDescent="0.3">
      <c r="B59" s="9" t="s">
        <v>45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18"/>
    </row>
    <row r="60" spans="2:22" ht="15" customHeight="1" x14ac:dyDescent="0.3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118"/>
    </row>
    <row r="61" spans="2:22" ht="15" customHeight="1" x14ac:dyDescent="0.3">
      <c r="B61" s="9"/>
      <c r="C61" s="9" t="s">
        <v>46</v>
      </c>
      <c r="D61" s="9"/>
      <c r="E61" s="9"/>
      <c r="F61" s="9"/>
      <c r="G61" s="17">
        <v>2.09</v>
      </c>
      <c r="H61" s="17">
        <v>2.3199999999999998</v>
      </c>
      <c r="I61" s="17">
        <v>3</v>
      </c>
      <c r="J61" s="17">
        <v>2.99</v>
      </c>
      <c r="K61" s="17">
        <v>3.31</v>
      </c>
      <c r="L61" s="17">
        <v>5.67</v>
      </c>
      <c r="M61" s="17">
        <v>6.15</v>
      </c>
      <c r="N61" s="17">
        <v>6.16</v>
      </c>
      <c r="O61" s="17">
        <v>6.11</v>
      </c>
      <c r="P61" s="17">
        <v>7.49</v>
      </c>
      <c r="Q61" s="127">
        <f t="shared" ref="Q61:V61" ca="1" si="26">Q57/Q67</f>
        <v>8.654380602661524</v>
      </c>
      <c r="R61" s="127">
        <f t="shared" ca="1" si="26"/>
        <v>9.1746874003092849</v>
      </c>
      <c r="S61" s="127">
        <f t="shared" ca="1" si="26"/>
        <v>9.732256247702356</v>
      </c>
      <c r="T61" s="127">
        <f t="shared" ca="1" si="26"/>
        <v>10.257889065770746</v>
      </c>
      <c r="U61" s="127">
        <f t="shared" ca="1" si="26"/>
        <v>10.980242949790627</v>
      </c>
      <c r="V61" s="128">
        <f t="shared" ca="1" si="26"/>
        <v>11.53798607357648</v>
      </c>
    </row>
    <row r="62" spans="2:22" ht="15" customHeight="1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71"/>
      <c r="R62" s="71"/>
      <c r="S62" s="71"/>
      <c r="T62" s="71"/>
      <c r="U62" s="71"/>
      <c r="V62" s="72"/>
    </row>
    <row r="63" spans="2:22" ht="15" customHeight="1" x14ac:dyDescent="0.3">
      <c r="B63" s="9"/>
      <c r="C63" s="9" t="s">
        <v>47</v>
      </c>
      <c r="D63" s="9"/>
      <c r="E63" s="9"/>
      <c r="F63" s="9"/>
      <c r="G63" s="17">
        <v>2.08</v>
      </c>
      <c r="H63" s="17">
        <v>2.2999999999999998</v>
      </c>
      <c r="I63" s="17">
        <v>2.98</v>
      </c>
      <c r="J63" s="17">
        <v>2.97</v>
      </c>
      <c r="K63" s="17">
        <v>3.28</v>
      </c>
      <c r="L63" s="17">
        <v>5.61</v>
      </c>
      <c r="M63" s="17">
        <v>6.11</v>
      </c>
      <c r="N63" s="17">
        <v>6.13</v>
      </c>
      <c r="O63" s="17">
        <v>6.08</v>
      </c>
      <c r="P63" s="17">
        <v>7.46</v>
      </c>
      <c r="Q63" s="127">
        <f t="shared" ref="Q63:V63" ca="1" si="27">Q57/Q69</f>
        <v>8.6197630802508769</v>
      </c>
      <c r="R63" s="127">
        <f t="shared" ca="1" si="27"/>
        <v>9.1379886507080492</v>
      </c>
      <c r="S63" s="127">
        <f t="shared" ca="1" si="27"/>
        <v>9.6933272227115452</v>
      </c>
      <c r="T63" s="127">
        <f t="shared" ca="1" si="27"/>
        <v>10.216857509507662</v>
      </c>
      <c r="U63" s="127">
        <f t="shared" ca="1" si="27"/>
        <v>10.936321977991463</v>
      </c>
      <c r="V63" s="128">
        <f t="shared" ca="1" si="27"/>
        <v>11.491834129282173</v>
      </c>
    </row>
    <row r="64" spans="2:22" ht="15" customHeight="1" x14ac:dyDescent="0.3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7"/>
    </row>
    <row r="65" spans="1:22" ht="15" customHeight="1" x14ac:dyDescent="0.3">
      <c r="B65" s="9" t="s">
        <v>48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18"/>
    </row>
    <row r="66" spans="1:22" ht="15" customHeight="1" x14ac:dyDescent="0.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18"/>
    </row>
    <row r="67" spans="1:22" ht="15" customHeight="1" x14ac:dyDescent="0.3">
      <c r="B67" s="9"/>
      <c r="C67" s="9" t="s">
        <v>46</v>
      </c>
      <c r="D67" s="9"/>
      <c r="E67" s="9"/>
      <c r="F67" s="9"/>
      <c r="G67" s="18">
        <v>21883</v>
      </c>
      <c r="H67" s="18">
        <v>20869</v>
      </c>
      <c r="I67" s="18">
        <v>19822</v>
      </c>
      <c r="J67" s="18">
        <v>18471</v>
      </c>
      <c r="K67" s="18">
        <v>17352</v>
      </c>
      <c r="L67" s="18">
        <v>16701</v>
      </c>
      <c r="M67" s="18">
        <v>16216</v>
      </c>
      <c r="N67" s="18">
        <v>15744</v>
      </c>
      <c r="O67" s="18">
        <v>15344</v>
      </c>
      <c r="P67" s="18">
        <v>14948</v>
      </c>
      <c r="Q67" s="129">
        <f t="shared" ref="Q67:V67" si="28">Q69*0.996</f>
        <v>14646.080399999999</v>
      </c>
      <c r="R67" s="129">
        <f t="shared" si="28"/>
        <v>14353.158792</v>
      </c>
      <c r="S67" s="129">
        <f t="shared" si="28"/>
        <v>14066.095616159999</v>
      </c>
      <c r="T67" s="129">
        <f t="shared" si="28"/>
        <v>13784.773703836798</v>
      </c>
      <c r="U67" s="129">
        <f t="shared" si="28"/>
        <v>13509.078229760062</v>
      </c>
      <c r="V67" s="130">
        <f t="shared" si="28"/>
        <v>13238.896665164859</v>
      </c>
    </row>
    <row r="68" spans="1:22" ht="15" customHeight="1" x14ac:dyDescent="0.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40"/>
      <c r="R68" s="40"/>
      <c r="S68" s="40"/>
      <c r="T68" s="40"/>
      <c r="U68" s="40"/>
      <c r="V68" s="65"/>
    </row>
    <row r="69" spans="1:22" ht="15" customHeight="1" x14ac:dyDescent="0.3">
      <c r="B69" s="9"/>
      <c r="C69" s="9" t="s">
        <v>47</v>
      </c>
      <c r="D69" s="9"/>
      <c r="E69" s="9"/>
      <c r="F69" s="9"/>
      <c r="G69" s="18">
        <v>22001</v>
      </c>
      <c r="H69" s="18">
        <v>21007</v>
      </c>
      <c r="I69" s="18">
        <v>20000</v>
      </c>
      <c r="J69" s="18">
        <v>18596</v>
      </c>
      <c r="K69" s="18">
        <v>17528</v>
      </c>
      <c r="L69" s="18">
        <v>16865</v>
      </c>
      <c r="M69" s="18">
        <v>16326</v>
      </c>
      <c r="N69" s="18">
        <v>15813</v>
      </c>
      <c r="O69" s="18">
        <v>15408</v>
      </c>
      <c r="P69" s="18">
        <v>15005</v>
      </c>
      <c r="Q69" s="129">
        <f t="shared" ref="Q69:V69" si="29">P69*0.98</f>
        <v>14704.9</v>
      </c>
      <c r="R69" s="129">
        <f t="shared" si="29"/>
        <v>14410.802</v>
      </c>
      <c r="S69" s="129">
        <f t="shared" si="29"/>
        <v>14122.585959999999</v>
      </c>
      <c r="T69" s="129">
        <f t="shared" si="29"/>
        <v>13840.134240799998</v>
      </c>
      <c r="U69" s="129">
        <f t="shared" si="29"/>
        <v>13563.331555983998</v>
      </c>
      <c r="V69" s="130">
        <f t="shared" si="29"/>
        <v>13292.064924864317</v>
      </c>
    </row>
    <row r="70" spans="1:22" ht="15" customHeight="1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7"/>
    </row>
    <row r="71" spans="1:22" ht="13.5" customHeight="1" x14ac:dyDescent="0.25">
      <c r="B71" s="19"/>
    </row>
    <row r="73" spans="1:22" ht="19.5" customHeight="1" x14ac:dyDescent="0.35">
      <c r="A73" s="1" t="s">
        <v>111</v>
      </c>
      <c r="B73" s="2" t="s">
        <v>49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15" customHeight="1" x14ac:dyDescent="0.3">
      <c r="B74" s="21" t="s">
        <v>50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18"/>
    </row>
    <row r="75" spans="1:22" ht="15" customHeight="1" x14ac:dyDescent="0.3">
      <c r="B75" s="6" t="s">
        <v>2</v>
      </c>
      <c r="C75" s="11"/>
      <c r="D75" s="11"/>
      <c r="E75" s="11"/>
      <c r="F75" s="11"/>
      <c r="G75" s="22" t="s">
        <v>3</v>
      </c>
      <c r="H75" s="22" t="s">
        <v>4</v>
      </c>
      <c r="I75" s="22" t="s">
        <v>5</v>
      </c>
      <c r="J75" s="22" t="s">
        <v>6</v>
      </c>
      <c r="K75" s="22" t="s">
        <v>7</v>
      </c>
      <c r="L75" s="22" t="s">
        <v>8</v>
      </c>
      <c r="M75" s="22" t="s">
        <v>9</v>
      </c>
      <c r="N75" s="22" t="s">
        <v>10</v>
      </c>
      <c r="O75" s="22" t="s">
        <v>11</v>
      </c>
      <c r="P75" s="22" t="s">
        <v>12</v>
      </c>
      <c r="Q75" s="22" t="s">
        <v>13</v>
      </c>
      <c r="R75" s="22" t="s">
        <v>14</v>
      </c>
      <c r="S75" s="22" t="s">
        <v>15</v>
      </c>
      <c r="T75" s="22" t="s">
        <v>16</v>
      </c>
      <c r="U75" s="22" t="s">
        <v>17</v>
      </c>
      <c r="V75" s="23" t="s">
        <v>18</v>
      </c>
    </row>
    <row r="76" spans="1:22" ht="15" customHeight="1" x14ac:dyDescent="0.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118"/>
    </row>
    <row r="77" spans="1:22" ht="15" customHeight="1" x14ac:dyDescent="0.3">
      <c r="B77" s="24" t="s">
        <v>51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18"/>
    </row>
    <row r="78" spans="1:22" ht="15" customHeight="1" x14ac:dyDescent="0.3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18"/>
    </row>
    <row r="79" spans="1:22" ht="15" customHeight="1" x14ac:dyDescent="0.3">
      <c r="B79" s="9" t="s">
        <v>41</v>
      </c>
      <c r="C79" s="9"/>
      <c r="D79" s="9"/>
      <c r="E79" s="9"/>
      <c r="F79" s="9"/>
      <c r="G79" s="25">
        <f t="shared" ref="G79:P79" si="30">G51</f>
        <v>45687</v>
      </c>
      <c r="H79" s="25">
        <f t="shared" si="30"/>
        <v>48351</v>
      </c>
      <c r="I79" s="25">
        <f t="shared" si="30"/>
        <v>59531</v>
      </c>
      <c r="J79" s="25">
        <f t="shared" si="30"/>
        <v>55256</v>
      </c>
      <c r="K79" s="25">
        <f t="shared" si="30"/>
        <v>57411</v>
      </c>
      <c r="L79" s="25">
        <f t="shared" si="30"/>
        <v>94680</v>
      </c>
      <c r="M79" s="25">
        <f t="shared" si="30"/>
        <v>99803</v>
      </c>
      <c r="N79" s="25">
        <f t="shared" si="30"/>
        <v>96995</v>
      </c>
      <c r="O79" s="25">
        <f t="shared" si="30"/>
        <v>93736</v>
      </c>
      <c r="P79" s="25">
        <f t="shared" si="30"/>
        <v>112010</v>
      </c>
      <c r="Q79" s="121">
        <f t="shared" ref="Q79:V79" ca="1" si="31">Q51</f>
        <v>126752.75411878113</v>
      </c>
      <c r="R79" s="121">
        <f t="shared" ca="1" si="31"/>
        <v>131685.74512360085</v>
      </c>
      <c r="S79" s="121">
        <f t="shared" ca="1" si="31"/>
        <v>136894.84694115186</v>
      </c>
      <c r="T79" s="121">
        <f t="shared" ca="1" si="31"/>
        <v>141402.67945071158</v>
      </c>
      <c r="U79" s="121">
        <f t="shared" ca="1" si="31"/>
        <v>148332.96099049295</v>
      </c>
      <c r="V79" s="122">
        <f t="shared" ca="1" si="31"/>
        <v>152750.20535219024</v>
      </c>
    </row>
    <row r="80" spans="1:22" ht="15" customHeight="1" x14ac:dyDescent="0.3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118"/>
    </row>
    <row r="81" spans="2:22" ht="15" customHeight="1" x14ac:dyDescent="0.3">
      <c r="B81" s="9" t="s">
        <v>31</v>
      </c>
      <c r="C81" s="9"/>
      <c r="D81" s="9"/>
      <c r="E81" s="9"/>
      <c r="F81" s="9"/>
      <c r="G81" s="25">
        <f t="shared" ref="G81:P81" si="32">G31</f>
        <v>10505</v>
      </c>
      <c r="H81" s="25">
        <f t="shared" si="32"/>
        <v>10157</v>
      </c>
      <c r="I81" s="25">
        <f t="shared" si="32"/>
        <v>10903</v>
      </c>
      <c r="J81" s="25">
        <f t="shared" si="32"/>
        <v>12547</v>
      </c>
      <c r="K81" s="25">
        <f t="shared" si="32"/>
        <v>11056</v>
      </c>
      <c r="L81" s="25">
        <f t="shared" si="32"/>
        <v>11284</v>
      </c>
      <c r="M81" s="25">
        <f t="shared" si="32"/>
        <v>11104</v>
      </c>
      <c r="N81" s="25">
        <f t="shared" si="32"/>
        <v>11519</v>
      </c>
      <c r="O81" s="25">
        <f t="shared" si="32"/>
        <v>11445</v>
      </c>
      <c r="P81" s="25">
        <f t="shared" si="32"/>
        <v>11698</v>
      </c>
      <c r="Q81" s="121">
        <f t="shared" ref="Q81:V81" si="33">Q31</f>
        <v>12353.453575</v>
      </c>
      <c r="R81" s="121">
        <f t="shared" si="33"/>
        <v>13688.940234062498</v>
      </c>
      <c r="S81" s="121">
        <f t="shared" si="33"/>
        <v>15074.507642839842</v>
      </c>
      <c r="T81" s="121">
        <f t="shared" si="33"/>
        <v>16506.742322010978</v>
      </c>
      <c r="U81" s="121">
        <f t="shared" si="33"/>
        <v>17992.844546874087</v>
      </c>
      <c r="V81" s="122">
        <f t="shared" si="33"/>
        <v>17992.844546874087</v>
      </c>
    </row>
    <row r="82" spans="2:22" ht="15" customHeight="1" x14ac:dyDescent="0.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40"/>
      <c r="R82" s="40"/>
      <c r="S82" s="40"/>
      <c r="T82" s="40"/>
      <c r="U82" s="40"/>
      <c r="V82" s="65"/>
    </row>
    <row r="83" spans="2:22" ht="15" customHeight="1" x14ac:dyDescent="0.3">
      <c r="B83" s="9" t="s">
        <v>52</v>
      </c>
      <c r="C83" s="9"/>
      <c r="D83" s="9"/>
      <c r="E83" s="9"/>
      <c r="F83" s="9"/>
      <c r="G83" s="26">
        <v>4938</v>
      </c>
      <c r="H83" s="26">
        <v>5966</v>
      </c>
      <c r="I83" s="26">
        <v>-32590</v>
      </c>
      <c r="J83" s="26">
        <v>-340</v>
      </c>
      <c r="K83" s="26">
        <v>-215</v>
      </c>
      <c r="L83" s="26">
        <v>-4774</v>
      </c>
      <c r="M83" s="26">
        <v>895</v>
      </c>
      <c r="N83" s="9"/>
      <c r="O83" s="9"/>
      <c r="P83" s="9"/>
      <c r="Q83" s="121">
        <f ca="1">Schedules!H128</f>
        <v>166.71246856197467</v>
      </c>
      <c r="R83" s="121">
        <f ca="1">Schedules!I128</f>
        <v>-59.120830692892923</v>
      </c>
      <c r="S83" s="121">
        <f ca="1">Schedules!J128</f>
        <v>-264.92899167247015</v>
      </c>
      <c r="T83" s="121">
        <f ca="1">Schedules!K128</f>
        <v>-461.80792882636524</v>
      </c>
      <c r="U83" s="121">
        <f ca="1">Schedules!L128</f>
        <v>-652.55323507196954</v>
      </c>
      <c r="V83" s="122">
        <f ca="1">Schedules!M128</f>
        <v>-581.8296376372964</v>
      </c>
    </row>
    <row r="84" spans="2:22" ht="15" customHeight="1" x14ac:dyDescent="0.3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40"/>
      <c r="R84" s="40"/>
      <c r="S84" s="40"/>
      <c r="T84" s="40"/>
      <c r="U84" s="40"/>
      <c r="V84" s="65"/>
    </row>
    <row r="85" spans="2:22" ht="15" customHeight="1" x14ac:dyDescent="0.3">
      <c r="B85" s="9" t="s">
        <v>53</v>
      </c>
      <c r="C85" s="9"/>
      <c r="D85" s="9"/>
      <c r="E85" s="9"/>
      <c r="F85" s="9"/>
      <c r="G85" s="26">
        <v>4210</v>
      </c>
      <c r="H85" s="26">
        <v>4674</v>
      </c>
      <c r="I85" s="26">
        <v>4896</v>
      </c>
      <c r="J85" s="26">
        <v>5416</v>
      </c>
      <c r="K85" s="26">
        <v>6732</v>
      </c>
      <c r="L85" s="26">
        <v>7759</v>
      </c>
      <c r="M85" s="26">
        <v>9149</v>
      </c>
      <c r="N85" s="26">
        <v>8606</v>
      </c>
      <c r="O85" s="26">
        <v>9422</v>
      </c>
      <c r="P85" s="26">
        <v>12774</v>
      </c>
      <c r="Q85" s="121" cm="1">
        <f t="array" ref="Q85:V85">_xlfn.FORECAST.LINEAR(Q7:V7,G85:P85,G7:P7)</f>
        <v>12206.673451678467</v>
      </c>
      <c r="R85" s="260">
        <v>12778.838366992022</v>
      </c>
      <c r="S85" s="260">
        <v>13372.459466629833</v>
      </c>
      <c r="T85" s="260">
        <v>13865.164979329216</v>
      </c>
      <c r="U85" s="260">
        <v>14626.394996449762</v>
      </c>
      <c r="V85" s="261">
        <v>15068.331311944745</v>
      </c>
    </row>
    <row r="86" spans="2:22" ht="15" customHeight="1" x14ac:dyDescent="0.3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118"/>
    </row>
    <row r="87" spans="2:22" ht="15" customHeight="1" x14ac:dyDescent="0.3">
      <c r="B87" s="9" t="s">
        <v>54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118"/>
    </row>
    <row r="88" spans="2:22" ht="15" customHeight="1" x14ac:dyDescent="0.3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118"/>
    </row>
    <row r="89" spans="2:22" ht="15" customHeight="1" x14ac:dyDescent="0.3">
      <c r="B89" s="9"/>
      <c r="C89" s="9" t="s">
        <v>55</v>
      </c>
      <c r="D89" s="9"/>
      <c r="E89" s="9"/>
      <c r="F89" s="9"/>
      <c r="G89" s="26">
        <v>1095</v>
      </c>
      <c r="H89" s="26">
        <v>-2093</v>
      </c>
      <c r="I89" s="26">
        <v>-5322</v>
      </c>
      <c r="J89" s="26">
        <v>245</v>
      </c>
      <c r="K89" s="26">
        <v>6917</v>
      </c>
      <c r="L89" s="26">
        <v>-10125</v>
      </c>
      <c r="M89" s="26">
        <v>-1823</v>
      </c>
      <c r="N89" s="26">
        <v>-1688</v>
      </c>
      <c r="O89" s="26">
        <v>-3788</v>
      </c>
      <c r="P89" s="26">
        <v>-6682</v>
      </c>
      <c r="Q89" s="121">
        <f t="shared" ref="Q89:V89" si="34">-(Q147-P147)</f>
        <v>-1390.6875000000073</v>
      </c>
      <c r="R89" s="121">
        <f t="shared" si="34"/>
        <v>-1543.7882812499956</v>
      </c>
      <c r="S89" s="121">
        <f t="shared" si="34"/>
        <v>-1601.680341796884</v>
      </c>
      <c r="T89" s="121">
        <f t="shared" si="34"/>
        <v>-1329.3946836914038</v>
      </c>
      <c r="U89" s="121">
        <f t="shared" si="34"/>
        <v>-2053.9147863032194</v>
      </c>
      <c r="V89" s="122">
        <f t="shared" si="34"/>
        <v>-1192.4116398260303</v>
      </c>
    </row>
    <row r="90" spans="2:22" ht="15" customHeight="1" x14ac:dyDescent="0.3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18"/>
    </row>
    <row r="91" spans="2:22" ht="15" customHeight="1" x14ac:dyDescent="0.3">
      <c r="B91" s="9"/>
      <c r="C91" s="9" t="s">
        <v>56</v>
      </c>
      <c r="D91" s="9"/>
      <c r="E91" s="9"/>
      <c r="F91" s="9"/>
      <c r="G91" s="26">
        <v>217</v>
      </c>
      <c r="H91" s="26">
        <v>-2723</v>
      </c>
      <c r="I91" s="26">
        <v>828</v>
      </c>
      <c r="J91" s="26">
        <v>-289</v>
      </c>
      <c r="K91" s="26">
        <v>-127</v>
      </c>
      <c r="L91" s="26">
        <v>-2642</v>
      </c>
      <c r="M91" s="26">
        <v>1484</v>
      </c>
      <c r="N91" s="26">
        <v>-1618</v>
      </c>
      <c r="O91" s="26">
        <v>-1046</v>
      </c>
      <c r="P91" s="26">
        <v>1400</v>
      </c>
      <c r="Q91" s="121">
        <f t="shared" ref="Q91:V91" si="35">-(Q149-P149)</f>
        <v>-1445.9170477461985</v>
      </c>
      <c r="R91" s="121">
        <f t="shared" si="35"/>
        <v>-268.64688929048316</v>
      </c>
      <c r="S91" s="121">
        <f t="shared" si="35"/>
        <v>-278.72114763887566</v>
      </c>
      <c r="T91" s="121">
        <f t="shared" si="35"/>
        <v>-231.33855254026821</v>
      </c>
      <c r="U91" s="121">
        <f t="shared" si="35"/>
        <v>-357.41806367471145</v>
      </c>
      <c r="V91" s="122">
        <f t="shared" si="35"/>
        <v>-207.50104252226265</v>
      </c>
    </row>
    <row r="92" spans="2:22" ht="15" customHeight="1" x14ac:dyDescent="0.3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18"/>
    </row>
    <row r="93" spans="2:22" ht="15" customHeight="1" x14ac:dyDescent="0.3">
      <c r="B93" s="9"/>
      <c r="C93" s="9" t="s">
        <v>57</v>
      </c>
      <c r="D93" s="9"/>
      <c r="E93" s="9"/>
      <c r="F93" s="9"/>
      <c r="G93" s="26">
        <v>1791</v>
      </c>
      <c r="H93" s="26">
        <v>9618</v>
      </c>
      <c r="I93" s="26">
        <v>9175</v>
      </c>
      <c r="J93" s="26">
        <v>-1923</v>
      </c>
      <c r="K93" s="26">
        <v>-4062</v>
      </c>
      <c r="L93" s="26">
        <v>12326</v>
      </c>
      <c r="M93" s="26">
        <v>9448</v>
      </c>
      <c r="N93" s="26">
        <v>-1889</v>
      </c>
      <c r="O93" s="26">
        <v>6020</v>
      </c>
      <c r="P93" s="26">
        <v>902</v>
      </c>
      <c r="Q93" s="121">
        <f t="shared" ref="Q93:V93" si="36">Q169-P169</f>
        <v>6616.0815570691484</v>
      </c>
      <c r="R93" s="121">
        <f t="shared" si="36"/>
        <v>2867.8530583901011</v>
      </c>
      <c r="S93" s="121">
        <f t="shared" si="36"/>
        <v>2975.397548079738</v>
      </c>
      <c r="T93" s="121">
        <f t="shared" si="36"/>
        <v>2469.5799649061664</v>
      </c>
      <c r="U93" s="121">
        <f t="shared" si="36"/>
        <v>3815.5010457800236</v>
      </c>
      <c r="V93" s="122">
        <f t="shared" si="36"/>
        <v>2215.1103293556225</v>
      </c>
    </row>
    <row r="94" spans="2:22" ht="15" customHeight="1" x14ac:dyDescent="0.3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18"/>
    </row>
    <row r="95" spans="2:22" ht="15" customHeight="1" x14ac:dyDescent="0.3">
      <c r="B95" s="9"/>
      <c r="C95" s="9" t="s">
        <v>58</v>
      </c>
      <c r="D95" s="9"/>
      <c r="E95" s="9"/>
      <c r="F95" s="9"/>
      <c r="G95" s="26">
        <v>-2619</v>
      </c>
      <c r="H95" s="26">
        <v>-10352</v>
      </c>
      <c r="I95" s="26">
        <v>30013</v>
      </c>
      <c r="J95" s="26">
        <v>-1521</v>
      </c>
      <c r="K95" s="26">
        <v>2962</v>
      </c>
      <c r="L95" s="26">
        <v>-4470</v>
      </c>
      <c r="M95" s="26">
        <v>-7909</v>
      </c>
      <c r="N95" s="26">
        <v>-1382</v>
      </c>
      <c r="O95" s="26">
        <v>2465</v>
      </c>
      <c r="P95" s="26">
        <v>-20620</v>
      </c>
      <c r="Q95" s="121">
        <f t="shared" ref="Q95:V95" si="37">Q171-P171</f>
        <v>18084.265541931134</v>
      </c>
      <c r="R95" s="121">
        <f t="shared" si="37"/>
        <v>3167.6724578224093</v>
      </c>
      <c r="S95" s="121">
        <f t="shared" si="37"/>
        <v>3286.4601749907742</v>
      </c>
      <c r="T95" s="121">
        <f t="shared" si="37"/>
        <v>2727.7619452423387</v>
      </c>
      <c r="U95" s="121">
        <f t="shared" si="37"/>
        <v>4214.3922053993738</v>
      </c>
      <c r="V95" s="122">
        <f t="shared" si="37"/>
        <v>2446.6888081346406</v>
      </c>
    </row>
    <row r="96" spans="2:22" ht="15" customHeight="1" x14ac:dyDescent="0.3">
      <c r="B96" s="9"/>
      <c r="C96" s="9"/>
      <c r="D96" s="9"/>
      <c r="E96" s="9"/>
      <c r="F96" s="9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121"/>
      <c r="R96" s="121"/>
      <c r="S96" s="121"/>
      <c r="T96" s="121"/>
      <c r="U96" s="121"/>
      <c r="V96" s="122"/>
    </row>
    <row r="97" spans="2:24" ht="15" customHeight="1" x14ac:dyDescent="0.3">
      <c r="B97" s="9"/>
      <c r="C97" s="9" t="s">
        <v>224</v>
      </c>
      <c r="D97" s="9"/>
      <c r="E97" s="9"/>
      <c r="F97" s="9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121">
        <f>SUM(P151-Q151,Q173-P173,Q185-P185)</f>
        <v>473.47754529048325</v>
      </c>
      <c r="R97" s="121">
        <f t="shared" ref="R97:V97" si="38">SUM(Q151-R151,R173-Q173,R185-Q185)</f>
        <v>2750.2351556073227</v>
      </c>
      <c r="S97" s="121">
        <f t="shared" si="38"/>
        <v>2853.3689739426081</v>
      </c>
      <c r="T97" s="121">
        <f t="shared" si="38"/>
        <v>2368.2962483723568</v>
      </c>
      <c r="U97" s="121">
        <f t="shared" si="38"/>
        <v>3659.0177037352805</v>
      </c>
      <c r="V97" s="122">
        <f t="shared" si="38"/>
        <v>2124.2630557796383</v>
      </c>
    </row>
    <row r="98" spans="2:24" ht="15" customHeight="1" x14ac:dyDescent="0.3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7"/>
    </row>
    <row r="99" spans="2:24" ht="15" customHeight="1" x14ac:dyDescent="0.3">
      <c r="B99" s="9" t="s">
        <v>59</v>
      </c>
      <c r="C99" s="9"/>
      <c r="D99" s="9"/>
      <c r="E99" s="9"/>
      <c r="F99" s="9"/>
      <c r="G99" s="25">
        <f t="shared" ref="G99:O99" si="39">SUM(G89,G91,G93,G95)</f>
        <v>484</v>
      </c>
      <c r="H99" s="25">
        <f t="shared" si="39"/>
        <v>-5550</v>
      </c>
      <c r="I99" s="25">
        <f t="shared" si="39"/>
        <v>34694</v>
      </c>
      <c r="J99" s="25">
        <f t="shared" si="39"/>
        <v>-3488</v>
      </c>
      <c r="K99" s="25">
        <f t="shared" si="39"/>
        <v>5690</v>
      </c>
      <c r="L99" s="25">
        <f t="shared" si="39"/>
        <v>-4911</v>
      </c>
      <c r="M99" s="25">
        <f t="shared" si="39"/>
        <v>1200</v>
      </c>
      <c r="N99" s="25">
        <f t="shared" si="39"/>
        <v>-6577</v>
      </c>
      <c r="O99" s="25">
        <f t="shared" si="39"/>
        <v>3651</v>
      </c>
      <c r="P99" s="25">
        <f t="shared" ref="P99" si="40">SUM(P89,P91,P93,P95)</f>
        <v>-25000</v>
      </c>
      <c r="Q99" s="121">
        <f t="shared" ref="Q99:V99" si="41">SUM(Q89,Q91,Q93,Q95,Q97)</f>
        <v>22337.220096544559</v>
      </c>
      <c r="R99" s="121">
        <f t="shared" si="41"/>
        <v>6973.3255012793543</v>
      </c>
      <c r="S99" s="121">
        <f t="shared" si="41"/>
        <v>7234.8252075773607</v>
      </c>
      <c r="T99" s="121">
        <f t="shared" si="41"/>
        <v>6004.9049222891899</v>
      </c>
      <c r="U99" s="121">
        <f t="shared" si="41"/>
        <v>9277.578104936747</v>
      </c>
      <c r="V99" s="122">
        <f t="shared" si="41"/>
        <v>5386.1495109216085</v>
      </c>
    </row>
    <row r="100" spans="2:24" ht="15" customHeight="1" x14ac:dyDescent="0.3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7"/>
    </row>
    <row r="101" spans="2:24" ht="15" customHeight="1" x14ac:dyDescent="0.3">
      <c r="B101" s="24" t="s">
        <v>60</v>
      </c>
      <c r="C101" s="9"/>
      <c r="D101" s="9"/>
      <c r="E101" s="9"/>
      <c r="F101" s="9"/>
      <c r="G101" s="27">
        <f t="shared" ref="G101:O101" si="42">G79+G81+G83+G85+G99</f>
        <v>65824</v>
      </c>
      <c r="H101" s="27">
        <f t="shared" si="42"/>
        <v>63598</v>
      </c>
      <c r="I101" s="27">
        <f t="shared" si="42"/>
        <v>77434</v>
      </c>
      <c r="J101" s="27">
        <f t="shared" si="42"/>
        <v>69391</v>
      </c>
      <c r="K101" s="27">
        <f t="shared" si="42"/>
        <v>80674</v>
      </c>
      <c r="L101" s="27">
        <f t="shared" si="42"/>
        <v>104038</v>
      </c>
      <c r="M101" s="27">
        <f t="shared" si="42"/>
        <v>122151</v>
      </c>
      <c r="N101" s="27">
        <f t="shared" si="42"/>
        <v>110543</v>
      </c>
      <c r="O101" s="27">
        <f t="shared" si="42"/>
        <v>118254</v>
      </c>
      <c r="P101" s="27">
        <f t="shared" ref="P101:V101" si="43">P79+P81+P83+P85+P99</f>
        <v>111482</v>
      </c>
      <c r="Q101" s="131">
        <f ca="1">Q79+Q81+Q83+Q85+Q99</f>
        <v>173816.81371056614</v>
      </c>
      <c r="R101" s="131">
        <f t="shared" ca="1" si="43"/>
        <v>165067.72839524181</v>
      </c>
      <c r="S101" s="131">
        <f t="shared" ca="1" si="43"/>
        <v>172311.71026652641</v>
      </c>
      <c r="T101" s="131">
        <f t="shared" ca="1" si="43"/>
        <v>177317.6837455146</v>
      </c>
      <c r="U101" s="131">
        <f t="shared" ca="1" si="43"/>
        <v>189577.22540368157</v>
      </c>
      <c r="V101" s="132">
        <f t="shared" ca="1" si="43"/>
        <v>190615.7010842934</v>
      </c>
    </row>
    <row r="102" spans="2:24" ht="15" customHeight="1" x14ac:dyDescent="0.3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18"/>
    </row>
    <row r="103" spans="2:24" ht="15" customHeight="1" x14ac:dyDescent="0.3">
      <c r="B103" s="24" t="s">
        <v>61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18"/>
    </row>
    <row r="104" spans="2:24" ht="15" customHeight="1" x14ac:dyDescent="0.3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18"/>
    </row>
    <row r="105" spans="2:24" ht="15" customHeight="1" x14ac:dyDescent="0.3">
      <c r="B105" s="9" t="s">
        <v>62</v>
      </c>
      <c r="C105" s="9"/>
      <c r="D105" s="9"/>
      <c r="E105" s="9"/>
      <c r="F105" s="9"/>
      <c r="G105" s="26">
        <v>-12734</v>
      </c>
      <c r="H105" s="26">
        <v>-12451</v>
      </c>
      <c r="I105" s="26">
        <v>-13313</v>
      </c>
      <c r="J105" s="26">
        <v>-10495</v>
      </c>
      <c r="K105" s="26">
        <v>-7309</v>
      </c>
      <c r="L105" s="26">
        <v>-11085</v>
      </c>
      <c r="M105" s="26">
        <v>-10708</v>
      </c>
      <c r="N105" s="26">
        <v>-10959</v>
      </c>
      <c r="O105" s="26">
        <v>-9447</v>
      </c>
      <c r="P105" s="26">
        <v>-12715</v>
      </c>
      <c r="Q105" s="121">
        <f>-(Q7*'Key Drivers'!G37)</f>
        <v>-13109.0715</v>
      </c>
      <c r="R105" s="121">
        <f>-(R7*'Key Drivers'!H37)</f>
        <v>-13600.661681250001</v>
      </c>
      <c r="S105" s="121">
        <f>-(S7*'Key Drivers'!I37)</f>
        <v>-14110.686494296877</v>
      </c>
      <c r="T105" s="121">
        <f>-(T7*'Key Drivers'!J37)</f>
        <v>-14534.007089125784</v>
      </c>
      <c r="U105" s="121">
        <f>-(U7*'Key Drivers'!K37)</f>
        <v>-15188.037408136444</v>
      </c>
      <c r="V105" s="122">
        <f>-(V7*'Key Drivers'!L37)</f>
        <v>-15567.738343339854</v>
      </c>
    </row>
    <row r="106" spans="2:24" ht="15" customHeight="1" x14ac:dyDescent="0.3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18"/>
    </row>
    <row r="107" spans="2:24" ht="15" customHeight="1" x14ac:dyDescent="0.3">
      <c r="B107" s="9" t="s">
        <v>63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18"/>
    </row>
    <row r="108" spans="2:24" ht="15" customHeight="1" x14ac:dyDescent="0.3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18"/>
    </row>
    <row r="109" spans="2:24" ht="15" customHeight="1" x14ac:dyDescent="0.3">
      <c r="B109" s="9" t="s">
        <v>64</v>
      </c>
      <c r="C109" s="9"/>
      <c r="D109" s="9"/>
      <c r="E109" s="9"/>
      <c r="F109" s="9"/>
      <c r="G109" s="26">
        <v>-33133</v>
      </c>
      <c r="H109" s="26">
        <v>-34215</v>
      </c>
      <c r="I109" s="26">
        <v>30124</v>
      </c>
      <c r="J109" s="26">
        <v>57469</v>
      </c>
      <c r="K109" s="26">
        <v>3811</v>
      </c>
      <c r="L109" s="26">
        <v>-2852</v>
      </c>
      <c r="M109" s="26">
        <v>-9866</v>
      </c>
      <c r="N109" s="26">
        <v>16001</v>
      </c>
      <c r="O109" s="26">
        <v>13690</v>
      </c>
      <c r="P109" s="26">
        <v>29390</v>
      </c>
      <c r="Q109" s="119">
        <v>0</v>
      </c>
      <c r="R109" s="119">
        <v>0</v>
      </c>
      <c r="S109" s="119">
        <v>0</v>
      </c>
      <c r="T109" s="119">
        <v>0</v>
      </c>
      <c r="U109" s="119">
        <v>0</v>
      </c>
      <c r="V109" s="120">
        <v>0</v>
      </c>
      <c r="X109" s="9"/>
    </row>
    <row r="110" spans="2:24" ht="15" customHeight="1" x14ac:dyDescent="0.3">
      <c r="B110" s="9" t="s">
        <v>65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40"/>
      <c r="R110" s="40"/>
      <c r="S110" s="40"/>
      <c r="T110" s="40"/>
      <c r="U110" s="40"/>
      <c r="V110" s="65"/>
      <c r="X110" s="9"/>
    </row>
    <row r="111" spans="2:24" ht="15" customHeight="1" x14ac:dyDescent="0.3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40"/>
      <c r="R111" s="40"/>
      <c r="S111" s="40"/>
      <c r="T111" s="40"/>
      <c r="U111" s="40"/>
      <c r="V111" s="65"/>
    </row>
    <row r="112" spans="2:24" ht="15" customHeight="1" x14ac:dyDescent="0.3">
      <c r="B112" s="9" t="s">
        <v>66</v>
      </c>
      <c r="C112" s="9"/>
      <c r="D112" s="9"/>
      <c r="E112" s="9"/>
      <c r="F112" s="9"/>
      <c r="G112" s="26">
        <v>-110</v>
      </c>
      <c r="H112" s="26">
        <v>220</v>
      </c>
      <c r="I112" s="26">
        <v>-745</v>
      </c>
      <c r="J112" s="26">
        <v>-1078</v>
      </c>
      <c r="K112" s="26">
        <v>-791</v>
      </c>
      <c r="L112" s="26">
        <v>-608</v>
      </c>
      <c r="M112" s="26">
        <v>-1780</v>
      </c>
      <c r="N112" s="26">
        <v>-1337</v>
      </c>
      <c r="O112" s="26">
        <v>-1308</v>
      </c>
      <c r="P112" s="26">
        <v>-1480</v>
      </c>
      <c r="Q112" s="121">
        <f>P161-Q161-Schedules!H55</f>
        <v>-4445.940965071728</v>
      </c>
      <c r="R112" s="121">
        <f>Q161-R161-Schedules!I55</f>
        <v>-2730.178486335557</v>
      </c>
      <c r="S112" s="121">
        <f>R161-S161-Schedules!J55</f>
        <v>-2693.8851795731462</v>
      </c>
      <c r="T112" s="121">
        <f>S161-T161-Schedules!K55</f>
        <v>-2864.5846990456921</v>
      </c>
      <c r="U112" s="121">
        <f>T161-U161-Schedules!L55</f>
        <v>-2410.3733600256382</v>
      </c>
      <c r="V112" s="122">
        <f>U161-V161-Schedules!L55</f>
        <v>-2950.4612006815441</v>
      </c>
    </row>
    <row r="113" spans="2:22" ht="15" customHeight="1" x14ac:dyDescent="0.3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7"/>
    </row>
    <row r="114" spans="2:22" ht="15" customHeight="1" x14ac:dyDescent="0.3">
      <c r="B114" s="24" t="s">
        <v>67</v>
      </c>
      <c r="C114" s="9"/>
      <c r="D114" s="9"/>
      <c r="E114" s="9"/>
      <c r="F114" s="9"/>
      <c r="G114" s="27">
        <f t="shared" ref="G114:O114" si="44">SUM(G105,G107,G109,G112)</f>
        <v>-45977</v>
      </c>
      <c r="H114" s="27">
        <f t="shared" si="44"/>
        <v>-46446</v>
      </c>
      <c r="I114" s="27">
        <f t="shared" si="44"/>
        <v>16066</v>
      </c>
      <c r="J114" s="27">
        <f t="shared" si="44"/>
        <v>45896</v>
      </c>
      <c r="K114" s="27">
        <f t="shared" si="44"/>
        <v>-4289</v>
      </c>
      <c r="L114" s="27">
        <f t="shared" si="44"/>
        <v>-14545</v>
      </c>
      <c r="M114" s="27">
        <f t="shared" si="44"/>
        <v>-22354</v>
      </c>
      <c r="N114" s="27">
        <f t="shared" si="44"/>
        <v>3705</v>
      </c>
      <c r="O114" s="27">
        <f t="shared" si="44"/>
        <v>2935</v>
      </c>
      <c r="P114" s="27">
        <f t="shared" ref="P114:V114" si="45">SUM(P105,P107,P109,P112)</f>
        <v>15195</v>
      </c>
      <c r="Q114" s="131">
        <f t="shared" si="45"/>
        <v>-17555.012465071726</v>
      </c>
      <c r="R114" s="131">
        <f t="shared" si="45"/>
        <v>-16330.840167585558</v>
      </c>
      <c r="S114" s="131">
        <f t="shared" si="45"/>
        <v>-16804.571673870021</v>
      </c>
      <c r="T114" s="131">
        <f t="shared" si="45"/>
        <v>-17398.591788171478</v>
      </c>
      <c r="U114" s="131">
        <f t="shared" si="45"/>
        <v>-17598.410768162081</v>
      </c>
      <c r="V114" s="132">
        <f t="shared" si="45"/>
        <v>-18518.199544021398</v>
      </c>
    </row>
    <row r="115" spans="2:22" ht="15" customHeight="1" x14ac:dyDescent="0.3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18"/>
    </row>
    <row r="116" spans="2:22" ht="15" customHeight="1" x14ac:dyDescent="0.3">
      <c r="B116" s="24" t="s">
        <v>68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18"/>
    </row>
    <row r="117" spans="2:22" ht="15" customHeight="1" x14ac:dyDescent="0.3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18"/>
    </row>
    <row r="118" spans="2:22" ht="15" customHeight="1" x14ac:dyDescent="0.3">
      <c r="B118" s="9" t="s">
        <v>69</v>
      </c>
      <c r="C118" s="9"/>
      <c r="D118" s="9"/>
      <c r="E118" s="9"/>
      <c r="F118" s="9"/>
      <c r="G118" s="26">
        <v>-397</v>
      </c>
      <c r="H118" s="26">
        <v>3852</v>
      </c>
      <c r="I118" s="26">
        <v>-37</v>
      </c>
      <c r="J118" s="26">
        <v>-5977</v>
      </c>
      <c r="K118" s="26">
        <v>-963</v>
      </c>
      <c r="L118" s="26">
        <v>1022</v>
      </c>
      <c r="M118" s="26">
        <v>3955</v>
      </c>
      <c r="N118" s="26">
        <v>-3978</v>
      </c>
      <c r="O118" s="26">
        <v>3960</v>
      </c>
      <c r="P118" s="26">
        <v>-2032</v>
      </c>
      <c r="Q118" s="40">
        <f t="shared" ref="Q118:V118" si="46">P175-Q175</f>
        <v>0</v>
      </c>
      <c r="R118" s="40">
        <f t="shared" si="46"/>
        <v>0</v>
      </c>
      <c r="S118" s="40">
        <f t="shared" si="46"/>
        <v>0</v>
      </c>
      <c r="T118" s="40">
        <f t="shared" si="46"/>
        <v>0</v>
      </c>
      <c r="U118" s="40">
        <f t="shared" si="46"/>
        <v>0</v>
      </c>
      <c r="V118" s="65">
        <f t="shared" si="46"/>
        <v>0</v>
      </c>
    </row>
    <row r="119" spans="2:22" ht="15" customHeight="1" x14ac:dyDescent="0.3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18"/>
    </row>
    <row r="120" spans="2:22" ht="15" customHeight="1" x14ac:dyDescent="0.3">
      <c r="B120" s="9" t="s">
        <v>70</v>
      </c>
      <c r="C120" s="9"/>
      <c r="D120" s="9"/>
      <c r="E120" s="9"/>
      <c r="F120" s="9"/>
      <c r="G120" s="26">
        <v>22454</v>
      </c>
      <c r="H120" s="26">
        <v>25162</v>
      </c>
      <c r="I120" s="26">
        <v>469</v>
      </c>
      <c r="J120" s="26">
        <v>-1842</v>
      </c>
      <c r="K120" s="26">
        <v>3462</v>
      </c>
      <c r="L120" s="26">
        <v>11643</v>
      </c>
      <c r="M120" s="26">
        <v>-4078</v>
      </c>
      <c r="N120" s="26">
        <v>-5923</v>
      </c>
      <c r="O120" s="26">
        <v>-9958</v>
      </c>
      <c r="P120" s="26">
        <v>-6451</v>
      </c>
      <c r="Q120" s="40">
        <f t="shared" ref="Q120:V120" si="47">P183-Q183</f>
        <v>0</v>
      </c>
      <c r="R120" s="40">
        <f t="shared" si="47"/>
        <v>0</v>
      </c>
      <c r="S120" s="40">
        <f t="shared" si="47"/>
        <v>0</v>
      </c>
      <c r="T120" s="40">
        <f t="shared" si="47"/>
        <v>0</v>
      </c>
      <c r="U120" s="40">
        <f t="shared" si="47"/>
        <v>0</v>
      </c>
      <c r="V120" s="65">
        <f t="shared" si="47"/>
        <v>0</v>
      </c>
    </row>
    <row r="121" spans="2:22" ht="15" customHeight="1" x14ac:dyDescent="0.3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118"/>
    </row>
    <row r="122" spans="2:22" ht="15" customHeight="1" x14ac:dyDescent="0.3">
      <c r="B122" s="9" t="s">
        <v>71</v>
      </c>
      <c r="C122" s="9"/>
      <c r="D122" s="9"/>
      <c r="E122" s="9"/>
      <c r="F122" s="9"/>
      <c r="G122" s="26">
        <v>-11965</v>
      </c>
      <c r="H122" s="26">
        <v>-12769</v>
      </c>
      <c r="I122" s="26">
        <v>-13712</v>
      </c>
      <c r="J122" s="26">
        <v>-14119</v>
      </c>
      <c r="K122" s="26">
        <v>-14081</v>
      </c>
      <c r="L122" s="26">
        <v>-14467</v>
      </c>
      <c r="M122" s="26">
        <v>-14841</v>
      </c>
      <c r="N122" s="26">
        <v>-15025</v>
      </c>
      <c r="O122" s="26">
        <v>-15234</v>
      </c>
      <c r="P122" s="26">
        <v>-15421</v>
      </c>
      <c r="Q122" s="121">
        <f t="shared" ref="Q122:V122" si="48">P122*1.03</f>
        <v>-15883.630000000001</v>
      </c>
      <c r="R122" s="121">
        <f t="shared" si="48"/>
        <v>-16360.138900000002</v>
      </c>
      <c r="S122" s="121">
        <f t="shared" si="48"/>
        <v>-16850.943067000004</v>
      </c>
      <c r="T122" s="121">
        <f t="shared" si="48"/>
        <v>-17356.471359010004</v>
      </c>
      <c r="U122" s="121">
        <f t="shared" si="48"/>
        <v>-17877.165499780305</v>
      </c>
      <c r="V122" s="122">
        <f t="shared" si="48"/>
        <v>-18413.480464773715</v>
      </c>
    </row>
    <row r="123" spans="2:22" ht="15" customHeight="1" x14ac:dyDescent="0.3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118"/>
    </row>
    <row r="124" spans="2:22" ht="15" customHeight="1" x14ac:dyDescent="0.3">
      <c r="B124" s="9" t="s">
        <v>72</v>
      </c>
      <c r="C124" s="9"/>
      <c r="D124" s="9"/>
      <c r="E124" s="9"/>
      <c r="F124" s="9"/>
      <c r="G124" s="26">
        <v>-29722</v>
      </c>
      <c r="H124" s="26">
        <v>-32900</v>
      </c>
      <c r="I124" s="26">
        <v>-72738</v>
      </c>
      <c r="J124" s="26">
        <v>-66897</v>
      </c>
      <c r="K124" s="26">
        <v>-72358</v>
      </c>
      <c r="L124" s="26">
        <v>-85971</v>
      </c>
      <c r="M124" s="26">
        <v>-89402</v>
      </c>
      <c r="N124" s="26">
        <v>-77550</v>
      </c>
      <c r="O124" s="26">
        <v>-94949</v>
      </c>
      <c r="P124" s="26">
        <v>-90711</v>
      </c>
      <c r="Q124" s="121">
        <f t="shared" ref="Q124:V124" si="49">-100000</f>
        <v>-100000</v>
      </c>
      <c r="R124" s="121">
        <f t="shared" si="49"/>
        <v>-100000</v>
      </c>
      <c r="S124" s="121">
        <f t="shared" si="49"/>
        <v>-100000</v>
      </c>
      <c r="T124" s="121">
        <f t="shared" si="49"/>
        <v>-100000</v>
      </c>
      <c r="U124" s="121">
        <f t="shared" si="49"/>
        <v>-100000</v>
      </c>
      <c r="V124" s="122">
        <f t="shared" si="49"/>
        <v>-100000</v>
      </c>
    </row>
    <row r="125" spans="2:22" ht="15" customHeight="1" x14ac:dyDescent="0.3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118"/>
    </row>
    <row r="126" spans="2:22" ht="15" customHeight="1" x14ac:dyDescent="0.3">
      <c r="B126" s="9" t="s">
        <v>73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118"/>
    </row>
    <row r="127" spans="2:22" ht="15" customHeight="1" x14ac:dyDescent="0.3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118"/>
    </row>
    <row r="128" spans="2:22" ht="15" customHeight="1" x14ac:dyDescent="0.3">
      <c r="B128" s="9" t="s">
        <v>74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18"/>
    </row>
    <row r="129" spans="1:22" ht="15" customHeight="1" x14ac:dyDescent="0.3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18"/>
    </row>
    <row r="130" spans="1:22" ht="15" customHeight="1" x14ac:dyDescent="0.3">
      <c r="B130" s="9" t="s">
        <v>75</v>
      </c>
      <c r="C130" s="9"/>
      <c r="D130" s="9"/>
      <c r="E130" s="9"/>
      <c r="F130" s="9"/>
      <c r="G130" s="26">
        <v>-853</v>
      </c>
      <c r="H130" s="26">
        <v>-692</v>
      </c>
      <c r="I130" s="26">
        <v>-1858</v>
      </c>
      <c r="J130" s="26">
        <v>-2141</v>
      </c>
      <c r="K130" s="26">
        <v>-2880</v>
      </c>
      <c r="L130" s="26">
        <v>-5580</v>
      </c>
      <c r="M130" s="26">
        <v>-6383</v>
      </c>
      <c r="N130" s="26">
        <v>-6012</v>
      </c>
      <c r="O130" s="26">
        <v>-5802</v>
      </c>
      <c r="P130" s="26">
        <v>-6071</v>
      </c>
      <c r="Q130" s="119">
        <v>-8817.7523944207296</v>
      </c>
      <c r="R130" s="119">
        <v>-10272.234999775263</v>
      </c>
      <c r="S130" s="119">
        <v>-11781.260702830594</v>
      </c>
      <c r="T130" s="119">
        <v>-13335.557176977583</v>
      </c>
      <c r="U130" s="119">
        <v>-14959.796992461188</v>
      </c>
      <c r="V130" s="120">
        <v>-16624.642803331881</v>
      </c>
    </row>
    <row r="131" spans="1:22" ht="15" customHeight="1" x14ac:dyDescent="0.3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7"/>
    </row>
    <row r="132" spans="1:22" ht="15" customHeight="1" x14ac:dyDescent="0.3">
      <c r="B132" s="24" t="s">
        <v>76</v>
      </c>
      <c r="C132" s="9"/>
      <c r="D132" s="9"/>
      <c r="E132" s="9"/>
      <c r="F132" s="9"/>
      <c r="G132" s="27">
        <f t="shared" ref="G132:V132" si="50">SUM(G118,G120,G122,G124,G126,G128,G130)</f>
        <v>-20483</v>
      </c>
      <c r="H132" s="27">
        <f t="shared" si="50"/>
        <v>-17347</v>
      </c>
      <c r="I132" s="27">
        <f t="shared" si="50"/>
        <v>-87876</v>
      </c>
      <c r="J132" s="27">
        <f t="shared" si="50"/>
        <v>-90976</v>
      </c>
      <c r="K132" s="27">
        <f t="shared" si="50"/>
        <v>-86820</v>
      </c>
      <c r="L132" s="27">
        <f t="shared" si="50"/>
        <v>-93353</v>
      </c>
      <c r="M132" s="27">
        <f t="shared" si="50"/>
        <v>-110749</v>
      </c>
      <c r="N132" s="27">
        <f t="shared" si="50"/>
        <v>-108488</v>
      </c>
      <c r="O132" s="27">
        <f t="shared" si="50"/>
        <v>-121983</v>
      </c>
      <c r="P132" s="27">
        <f t="shared" si="50"/>
        <v>-120686</v>
      </c>
      <c r="Q132" s="135">
        <f t="shared" si="50"/>
        <v>-124701.38239442074</v>
      </c>
      <c r="R132" s="135">
        <f t="shared" si="50"/>
        <v>-126632.37389977527</v>
      </c>
      <c r="S132" s="135">
        <f t="shared" si="50"/>
        <v>-128632.20376983059</v>
      </c>
      <c r="T132" s="135">
        <f t="shared" si="50"/>
        <v>-130692.02853598759</v>
      </c>
      <c r="U132" s="135">
        <f t="shared" si="50"/>
        <v>-132836.9624922415</v>
      </c>
      <c r="V132" s="136">
        <f t="shared" si="50"/>
        <v>-135038.12326810561</v>
      </c>
    </row>
    <row r="133" spans="1:22" ht="15" customHeight="1" x14ac:dyDescent="0.3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18"/>
    </row>
    <row r="134" spans="1:22" ht="15" customHeight="1" x14ac:dyDescent="0.3">
      <c r="B134" s="9" t="s">
        <v>77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18"/>
    </row>
    <row r="135" spans="1:22" ht="15" customHeight="1" x14ac:dyDescent="0.3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7"/>
    </row>
    <row r="136" spans="1:22" ht="15" customHeight="1" x14ac:dyDescent="0.3">
      <c r="B136" s="28" t="s">
        <v>78</v>
      </c>
      <c r="C136" s="15"/>
      <c r="D136" s="15"/>
      <c r="E136" s="15"/>
      <c r="F136" s="15"/>
      <c r="G136" s="29">
        <f t="shared" ref="G136:V136" si="51">G101+G114+G132</f>
        <v>-636</v>
      </c>
      <c r="H136" s="29">
        <f t="shared" si="51"/>
        <v>-195</v>
      </c>
      <c r="I136" s="29">
        <f t="shared" si="51"/>
        <v>5624</v>
      </c>
      <c r="J136" s="29">
        <f t="shared" si="51"/>
        <v>24311</v>
      </c>
      <c r="K136" s="29">
        <f t="shared" si="51"/>
        <v>-10435</v>
      </c>
      <c r="L136" s="29">
        <f t="shared" si="51"/>
        <v>-3860</v>
      </c>
      <c r="M136" s="29">
        <f t="shared" si="51"/>
        <v>-10952</v>
      </c>
      <c r="N136" s="29">
        <f t="shared" si="51"/>
        <v>5760</v>
      </c>
      <c r="O136" s="29">
        <f t="shared" si="51"/>
        <v>-794</v>
      </c>
      <c r="P136" s="29">
        <f t="shared" si="51"/>
        <v>5991</v>
      </c>
      <c r="Q136" s="137">
        <f ca="1">Q101+Q114+Q132</f>
        <v>31560.418851073686</v>
      </c>
      <c r="R136" s="137">
        <f t="shared" ca="1" si="51"/>
        <v>22104.514327880985</v>
      </c>
      <c r="S136" s="137">
        <f t="shared" ca="1" si="51"/>
        <v>26874.934822825788</v>
      </c>
      <c r="T136" s="137">
        <f t="shared" ca="1" si="51"/>
        <v>29227.063421355546</v>
      </c>
      <c r="U136" s="137">
        <f t="shared" ca="1" si="51"/>
        <v>39141.852143277996</v>
      </c>
      <c r="V136" s="138">
        <f t="shared" ca="1" si="51"/>
        <v>37059.378272166388</v>
      </c>
    </row>
    <row r="137" spans="1:22" ht="15" customHeight="1" x14ac:dyDescent="0.3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9" spans="1:22" ht="19.5" customHeight="1" x14ac:dyDescent="0.35">
      <c r="A139" s="1" t="s">
        <v>111</v>
      </c>
      <c r="B139" s="2" t="s">
        <v>79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1:22" ht="15.6" x14ac:dyDescent="0.3">
      <c r="B140" s="21" t="s">
        <v>50</v>
      </c>
      <c r="V140" s="118"/>
    </row>
    <row r="141" spans="1:22" ht="15.6" x14ac:dyDescent="0.3">
      <c r="B141" s="6" t="s">
        <v>2</v>
      </c>
      <c r="C141" s="11"/>
      <c r="D141" s="11"/>
      <c r="E141" s="11"/>
      <c r="F141" s="11"/>
      <c r="G141" s="22" t="s">
        <v>3</v>
      </c>
      <c r="H141" s="22" t="s">
        <v>4</v>
      </c>
      <c r="I141" s="22" t="s">
        <v>5</v>
      </c>
      <c r="J141" s="22" t="s">
        <v>6</v>
      </c>
      <c r="K141" s="22" t="s">
        <v>7</v>
      </c>
      <c r="L141" s="22" t="s">
        <v>8</v>
      </c>
      <c r="M141" s="22" t="s">
        <v>9</v>
      </c>
      <c r="N141" s="22" t="s">
        <v>10</v>
      </c>
      <c r="O141" s="22" t="s">
        <v>11</v>
      </c>
      <c r="P141" s="22" t="s">
        <v>12</v>
      </c>
      <c r="Q141" s="22" t="s">
        <v>13</v>
      </c>
      <c r="R141" s="22" t="s">
        <v>14</v>
      </c>
      <c r="S141" s="22" t="s">
        <v>15</v>
      </c>
      <c r="T141" s="22" t="s">
        <v>16</v>
      </c>
      <c r="U141" s="22" t="s">
        <v>17</v>
      </c>
      <c r="V141" s="23" t="s">
        <v>18</v>
      </c>
    </row>
    <row r="142" spans="1:22" x14ac:dyDescent="0.25">
      <c r="V142" s="5"/>
    </row>
    <row r="143" spans="1:22" ht="15.6" x14ac:dyDescent="0.3">
      <c r="B143" s="24" t="s">
        <v>80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118"/>
    </row>
    <row r="144" spans="1:22" x14ac:dyDescent="0.25">
      <c r="V144" s="5"/>
    </row>
    <row r="145" spans="2:22" ht="15.6" x14ac:dyDescent="0.3">
      <c r="B145" s="9" t="s">
        <v>81</v>
      </c>
      <c r="C145" s="9"/>
      <c r="D145" s="9"/>
      <c r="E145" s="9"/>
      <c r="F145" s="9"/>
      <c r="G145" s="26">
        <v>20484</v>
      </c>
      <c r="H145" s="26">
        <v>20289</v>
      </c>
      <c r="I145" s="26">
        <v>25913</v>
      </c>
      <c r="J145" s="26">
        <v>48844</v>
      </c>
      <c r="K145" s="26">
        <v>38016</v>
      </c>
      <c r="L145" s="26">
        <v>34940</v>
      </c>
      <c r="M145" s="26">
        <v>23646</v>
      </c>
      <c r="N145" s="26">
        <v>29965</v>
      </c>
      <c r="O145" s="26">
        <v>29943</v>
      </c>
      <c r="P145" s="26">
        <v>35934</v>
      </c>
      <c r="Q145" s="40">
        <f ca="1">P145+Q136</f>
        <v>67494.418851073686</v>
      </c>
      <c r="R145" s="40">
        <f t="shared" ref="R145:V145" ca="1" si="52">Q145+R136</f>
        <v>89598.93317895467</v>
      </c>
      <c r="S145" s="40">
        <f t="shared" ca="1" si="52"/>
        <v>116473.86800178046</v>
      </c>
      <c r="T145" s="40">
        <f t="shared" ca="1" si="52"/>
        <v>145700.931423136</v>
      </c>
      <c r="U145" s="40">
        <f t="shared" ca="1" si="52"/>
        <v>184842.783566414</v>
      </c>
      <c r="V145" s="65">
        <f t="shared" ca="1" si="52"/>
        <v>221902.16183858039</v>
      </c>
    </row>
    <row r="146" spans="2:22" x14ac:dyDescent="0.25">
      <c r="V146" s="5"/>
    </row>
    <row r="147" spans="2:22" ht="15.6" x14ac:dyDescent="0.3">
      <c r="B147" s="9" t="s">
        <v>82</v>
      </c>
      <c r="C147" s="9"/>
      <c r="D147" s="9"/>
      <c r="E147" s="9"/>
      <c r="F147" s="9"/>
      <c r="G147" s="26">
        <v>15754</v>
      </c>
      <c r="H147" s="26">
        <v>17874</v>
      </c>
      <c r="I147" s="26">
        <v>23186</v>
      </c>
      <c r="J147" s="26">
        <v>22926</v>
      </c>
      <c r="K147" s="26">
        <v>16120</v>
      </c>
      <c r="L147" s="26">
        <v>26278</v>
      </c>
      <c r="M147" s="26">
        <v>28184</v>
      </c>
      <c r="N147" s="26">
        <v>29508</v>
      </c>
      <c r="O147" s="26">
        <v>33410</v>
      </c>
      <c r="P147" s="26">
        <v>39777</v>
      </c>
      <c r="Q147" s="121">
        <f>Schedules!H65</f>
        <v>41167.687500000007</v>
      </c>
      <c r="R147" s="121">
        <f>Schedules!I65</f>
        <v>42711.475781250003</v>
      </c>
      <c r="S147" s="121">
        <f>Schedules!J65</f>
        <v>44313.156123046887</v>
      </c>
      <c r="T147" s="121">
        <f>Schedules!K65</f>
        <v>45642.550806738291</v>
      </c>
      <c r="U147" s="121">
        <f>Schedules!L65</f>
        <v>47696.46559304151</v>
      </c>
      <c r="V147" s="122">
        <f>Schedules!M65</f>
        <v>48888.87723286754</v>
      </c>
    </row>
    <row r="148" spans="2:22" x14ac:dyDescent="0.25">
      <c r="Q148" s="39"/>
      <c r="R148" s="39"/>
      <c r="S148" s="39"/>
      <c r="T148" s="39"/>
      <c r="U148" s="39"/>
      <c r="V148" s="109"/>
    </row>
    <row r="149" spans="2:22" ht="15.6" x14ac:dyDescent="0.3">
      <c r="B149" s="9" t="s">
        <v>83</v>
      </c>
      <c r="C149" s="9"/>
      <c r="D149" s="9"/>
      <c r="E149" s="9"/>
      <c r="F149" s="9"/>
      <c r="G149" s="26">
        <v>2132</v>
      </c>
      <c r="H149" s="26">
        <v>4855</v>
      </c>
      <c r="I149" s="26">
        <v>3956</v>
      </c>
      <c r="J149" s="26">
        <v>4106</v>
      </c>
      <c r="K149" s="26">
        <v>4061</v>
      </c>
      <c r="L149" s="26">
        <v>6580</v>
      </c>
      <c r="M149" s="26">
        <v>4946</v>
      </c>
      <c r="N149" s="26">
        <v>6331</v>
      </c>
      <c r="O149" s="26">
        <v>7286</v>
      </c>
      <c r="P149" s="26">
        <v>5718</v>
      </c>
      <c r="Q149" s="121">
        <f>Schedules!H68</f>
        <v>7163.9170477461985</v>
      </c>
      <c r="R149" s="121">
        <f>Schedules!I68</f>
        <v>7432.5639370366816</v>
      </c>
      <c r="S149" s="121">
        <f>Schedules!J68</f>
        <v>7711.2850846755573</v>
      </c>
      <c r="T149" s="121">
        <f>Schedules!K68</f>
        <v>7942.6236372158255</v>
      </c>
      <c r="U149" s="121">
        <f>Schedules!L68</f>
        <v>8300.041700890537</v>
      </c>
      <c r="V149" s="122">
        <f>Schedules!M68</f>
        <v>8507.5427434127996</v>
      </c>
    </row>
    <row r="150" spans="2:22" x14ac:dyDescent="0.25">
      <c r="V150" s="5"/>
    </row>
    <row r="151" spans="2:22" ht="15.6" x14ac:dyDescent="0.3">
      <c r="B151" s="9" t="s">
        <v>84</v>
      </c>
      <c r="C151" s="9"/>
      <c r="D151" s="9"/>
      <c r="E151" s="9"/>
      <c r="F151" s="9"/>
      <c r="G151" s="26">
        <v>68499</v>
      </c>
      <c r="H151" s="26">
        <v>85627</v>
      </c>
      <c r="I151" s="26">
        <v>78284</v>
      </c>
      <c r="J151" s="26">
        <v>86943</v>
      </c>
      <c r="K151" s="26">
        <v>85516</v>
      </c>
      <c r="L151" s="26">
        <v>67038</v>
      </c>
      <c r="M151" s="26">
        <v>78629</v>
      </c>
      <c r="N151" s="26">
        <v>77762</v>
      </c>
      <c r="O151" s="26">
        <v>82348</v>
      </c>
      <c r="P151" s="26">
        <v>66528</v>
      </c>
      <c r="Q151" s="260" cm="1">
        <f t="array" ref="Q151:V151">_xlfn.FORECAST.LINEAR(Q7:V7,G151:P151,G7:P7)</f>
        <v>72568.619704709519</v>
      </c>
      <c r="R151" s="260">
        <v>71960.3131959772</v>
      </c>
      <c r="S151" s="260">
        <v>71329.195193167412</v>
      </c>
      <c r="T151" s="260">
        <v>70805.36725083529</v>
      </c>
      <c r="U151" s="260">
        <v>69996.053079932171</v>
      </c>
      <c r="V151" s="261">
        <v>69526.201241824529</v>
      </c>
    </row>
    <row r="152" spans="2:22" x14ac:dyDescent="0.25">
      <c r="V152" s="5"/>
    </row>
    <row r="153" spans="2:22" ht="15.6" x14ac:dyDescent="0.3">
      <c r="B153" s="30" t="s">
        <v>85</v>
      </c>
      <c r="C153" s="31"/>
      <c r="D153" s="31"/>
      <c r="E153" s="31"/>
      <c r="F153" s="31"/>
      <c r="G153" s="32">
        <f t="shared" ref="G153:V153" si="53">SUM(G145:G151)</f>
        <v>106869</v>
      </c>
      <c r="H153" s="32">
        <f t="shared" si="53"/>
        <v>128645</v>
      </c>
      <c r="I153" s="32">
        <f t="shared" si="53"/>
        <v>131339</v>
      </c>
      <c r="J153" s="32">
        <f t="shared" si="53"/>
        <v>162819</v>
      </c>
      <c r="K153" s="32">
        <f t="shared" si="53"/>
        <v>143713</v>
      </c>
      <c r="L153" s="32">
        <f t="shared" si="53"/>
        <v>134836</v>
      </c>
      <c r="M153" s="32">
        <f t="shared" si="53"/>
        <v>135405</v>
      </c>
      <c r="N153" s="32">
        <f t="shared" si="53"/>
        <v>143566</v>
      </c>
      <c r="O153" s="32">
        <f t="shared" si="53"/>
        <v>152987</v>
      </c>
      <c r="P153" s="32">
        <f t="shared" si="53"/>
        <v>147957</v>
      </c>
      <c r="Q153" s="139">
        <f t="shared" ca="1" si="53"/>
        <v>188394.64310352941</v>
      </c>
      <c r="R153" s="139">
        <f t="shared" ca="1" si="53"/>
        <v>211703.28609321854</v>
      </c>
      <c r="S153" s="139">
        <f t="shared" ca="1" si="53"/>
        <v>239827.50440267031</v>
      </c>
      <c r="T153" s="139">
        <f t="shared" ca="1" si="53"/>
        <v>270091.4731179254</v>
      </c>
      <c r="U153" s="139">
        <f t="shared" ca="1" si="53"/>
        <v>310835.34394027822</v>
      </c>
      <c r="V153" s="140">
        <f t="shared" ca="1" si="53"/>
        <v>348824.78305668524</v>
      </c>
    </row>
    <row r="154" spans="2:22" x14ac:dyDescent="0.25">
      <c r="V154" s="5"/>
    </row>
    <row r="155" spans="2:22" ht="15.6" x14ac:dyDescent="0.3">
      <c r="B155" s="24" t="s">
        <v>86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18"/>
    </row>
    <row r="156" spans="2:22" x14ac:dyDescent="0.25">
      <c r="V156" s="5"/>
    </row>
    <row r="157" spans="2:22" ht="15.6" x14ac:dyDescent="0.3">
      <c r="B157" s="9" t="s">
        <v>87</v>
      </c>
      <c r="C157" s="9"/>
      <c r="D157" s="9"/>
      <c r="E157" s="9"/>
      <c r="F157" s="9"/>
      <c r="G157" s="26">
        <v>27010</v>
      </c>
      <c r="H157" s="26">
        <v>33783</v>
      </c>
      <c r="I157" s="26">
        <v>41304</v>
      </c>
      <c r="J157" s="26">
        <v>37378</v>
      </c>
      <c r="K157" s="26">
        <v>36766</v>
      </c>
      <c r="L157" s="26">
        <v>39440</v>
      </c>
      <c r="M157" s="26">
        <v>42117</v>
      </c>
      <c r="N157" s="26">
        <v>43715</v>
      </c>
      <c r="O157" s="26">
        <v>45680</v>
      </c>
      <c r="P157" s="26">
        <v>49834</v>
      </c>
      <c r="Q157" s="121">
        <f>P157+(Q7*'Key Drivers'!G37)-Schedules!H54</f>
        <v>54287.617924999999</v>
      </c>
      <c r="R157" s="121">
        <f>Q157+(R7*'Key Drivers'!H37)-Schedules!I54</f>
        <v>57897.339372187504</v>
      </c>
      <c r="S157" s="121">
        <f>R157+(S7*'Key Drivers'!I37)-Schedules!J54</f>
        <v>60631.51822364454</v>
      </c>
      <c r="T157" s="121">
        <f>S157+(T7*'Key Drivers'!J37)-Schedules!K54</f>
        <v>62356.78299075934</v>
      </c>
      <c r="U157" s="121">
        <f>T157+(U7*'Key Drivers'!K37)-Schedules!L54</f>
        <v>63249.9758520217</v>
      </c>
      <c r="V157" s="122">
        <f>U157+(V7*'Key Drivers'!L37)-Schedules!L54</f>
        <v>64522.869648487467</v>
      </c>
    </row>
    <row r="158" spans="2:22" x14ac:dyDescent="0.25">
      <c r="V158" s="5"/>
    </row>
    <row r="159" spans="2:22" ht="15.6" x14ac:dyDescent="0.3">
      <c r="B159" s="9" t="s">
        <v>88</v>
      </c>
      <c r="C159" s="9"/>
      <c r="D159" s="9"/>
      <c r="E159" s="9"/>
      <c r="F159" s="9"/>
      <c r="G159" s="26">
        <v>8620</v>
      </c>
      <c r="H159" s="26">
        <v>8015</v>
      </c>
      <c r="I159" s="25"/>
      <c r="J159" s="25"/>
      <c r="K159" s="25"/>
      <c r="L159" s="25"/>
      <c r="M159" s="25"/>
      <c r="N159" s="25"/>
      <c r="O159" s="25"/>
      <c r="P159" s="25"/>
      <c r="Q159" s="9"/>
      <c r="R159" s="9"/>
      <c r="S159" s="9"/>
      <c r="T159" s="9"/>
      <c r="U159" s="9"/>
      <c r="V159" s="118"/>
    </row>
    <row r="160" spans="2:22" x14ac:dyDescent="0.25">
      <c r="V160" s="5"/>
    </row>
    <row r="161" spans="2:22" ht="15.6" x14ac:dyDescent="0.3">
      <c r="B161" s="9" t="s">
        <v>89</v>
      </c>
      <c r="C161" s="9"/>
      <c r="D161" s="9"/>
      <c r="E161" s="9"/>
      <c r="F161" s="9"/>
      <c r="G161" s="26">
        <v>179187</v>
      </c>
      <c r="H161" s="26">
        <v>204876</v>
      </c>
      <c r="I161" s="26">
        <v>193082</v>
      </c>
      <c r="J161" s="26">
        <v>138319</v>
      </c>
      <c r="K161" s="26">
        <v>143409</v>
      </c>
      <c r="L161" s="26">
        <v>176726</v>
      </c>
      <c r="M161" s="26">
        <v>175233</v>
      </c>
      <c r="N161" s="26">
        <v>165302</v>
      </c>
      <c r="O161" s="26">
        <v>166313</v>
      </c>
      <c r="P161" s="26">
        <v>161450</v>
      </c>
      <c r="Q161" s="260" cm="1">
        <f t="array" ref="Q161:V161">_xlfn.FORECAST.LINEAR(Q7:V7,G161:P161,G7:P7)</f>
        <v>162197.94096507173</v>
      </c>
      <c r="R161" s="260">
        <v>161230.11945140728</v>
      </c>
      <c r="S161" s="260">
        <v>160226.00463098043</v>
      </c>
      <c r="T161" s="260">
        <v>159392.58933002612</v>
      </c>
      <c r="U161" s="260">
        <v>158104.96269005176</v>
      </c>
      <c r="V161" s="261">
        <v>157357.42389073331</v>
      </c>
    </row>
    <row r="162" spans="2:22" x14ac:dyDescent="0.25">
      <c r="V162" s="5"/>
    </row>
    <row r="163" spans="2:22" ht="15.6" x14ac:dyDescent="0.3">
      <c r="B163" s="30" t="s">
        <v>90</v>
      </c>
      <c r="C163" s="31"/>
      <c r="D163" s="31"/>
      <c r="E163" s="31"/>
      <c r="F163" s="31"/>
      <c r="G163" s="32">
        <f t="shared" ref="G163:V163" si="54">SUM(G157:G161)</f>
        <v>214817</v>
      </c>
      <c r="H163" s="32">
        <f t="shared" si="54"/>
        <v>246674</v>
      </c>
      <c r="I163" s="32">
        <f t="shared" si="54"/>
        <v>234386</v>
      </c>
      <c r="J163" s="32">
        <f t="shared" si="54"/>
        <v>175697</v>
      </c>
      <c r="K163" s="32">
        <f t="shared" si="54"/>
        <v>180175</v>
      </c>
      <c r="L163" s="32">
        <f t="shared" si="54"/>
        <v>216166</v>
      </c>
      <c r="M163" s="32">
        <f t="shared" si="54"/>
        <v>217350</v>
      </c>
      <c r="N163" s="32">
        <f t="shared" si="54"/>
        <v>209017</v>
      </c>
      <c r="O163" s="32">
        <f t="shared" si="54"/>
        <v>211993</v>
      </c>
      <c r="P163" s="32">
        <f t="shared" si="54"/>
        <v>211284</v>
      </c>
      <c r="Q163" s="139">
        <f t="shared" si="54"/>
        <v>216485.55889007173</v>
      </c>
      <c r="R163" s="139">
        <f t="shared" si="54"/>
        <v>219127.45882359479</v>
      </c>
      <c r="S163" s="139">
        <f t="shared" si="54"/>
        <v>220857.52285462496</v>
      </c>
      <c r="T163" s="139">
        <f t="shared" si="54"/>
        <v>221749.37232078548</v>
      </c>
      <c r="U163" s="139">
        <f t="shared" si="54"/>
        <v>221354.93854207348</v>
      </c>
      <c r="V163" s="140">
        <f t="shared" si="54"/>
        <v>221880.29353922076</v>
      </c>
    </row>
    <row r="164" spans="2:22" x14ac:dyDescent="0.25">
      <c r="V164" s="5"/>
    </row>
    <row r="165" spans="2:22" ht="16.2" thickBot="1" x14ac:dyDescent="0.35">
      <c r="B165" s="33" t="s">
        <v>91</v>
      </c>
      <c r="C165" s="34"/>
      <c r="D165" s="34"/>
      <c r="E165" s="34"/>
      <c r="F165" s="34"/>
      <c r="G165" s="35">
        <f t="shared" ref="G165:V165" si="55">G153+G163</f>
        <v>321686</v>
      </c>
      <c r="H165" s="35">
        <f t="shared" si="55"/>
        <v>375319</v>
      </c>
      <c r="I165" s="35">
        <f t="shared" si="55"/>
        <v>365725</v>
      </c>
      <c r="J165" s="35">
        <f t="shared" si="55"/>
        <v>338516</v>
      </c>
      <c r="K165" s="35">
        <f t="shared" si="55"/>
        <v>323888</v>
      </c>
      <c r="L165" s="35">
        <f t="shared" si="55"/>
        <v>351002</v>
      </c>
      <c r="M165" s="35">
        <f t="shared" si="55"/>
        <v>352755</v>
      </c>
      <c r="N165" s="35">
        <f t="shared" si="55"/>
        <v>352583</v>
      </c>
      <c r="O165" s="35">
        <f t="shared" si="55"/>
        <v>364980</v>
      </c>
      <c r="P165" s="35">
        <f t="shared" si="55"/>
        <v>359241</v>
      </c>
      <c r="Q165" s="141">
        <f t="shared" ca="1" si="55"/>
        <v>404880.20199360116</v>
      </c>
      <c r="R165" s="141">
        <f t="shared" ca="1" si="55"/>
        <v>430830.74491681333</v>
      </c>
      <c r="S165" s="141">
        <f t="shared" ca="1" si="55"/>
        <v>460685.02725729527</v>
      </c>
      <c r="T165" s="141">
        <f t="shared" ca="1" si="55"/>
        <v>491840.84543871088</v>
      </c>
      <c r="U165" s="141">
        <f t="shared" ca="1" si="55"/>
        <v>532190.28248235164</v>
      </c>
      <c r="V165" s="142">
        <f t="shared" ca="1" si="55"/>
        <v>570705.07659590594</v>
      </c>
    </row>
    <row r="166" spans="2:22" ht="14.4" thickTop="1" x14ac:dyDescent="0.25">
      <c r="V166" s="5"/>
    </row>
    <row r="167" spans="2:22" ht="15.6" x14ac:dyDescent="0.3">
      <c r="B167" s="24" t="s">
        <v>92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18"/>
    </row>
    <row r="168" spans="2:22" x14ac:dyDescent="0.25">
      <c r="V168" s="5"/>
    </row>
    <row r="169" spans="2:22" ht="15.6" x14ac:dyDescent="0.3">
      <c r="B169" s="9" t="s">
        <v>93</v>
      </c>
      <c r="C169" s="9"/>
      <c r="D169" s="9"/>
      <c r="E169" s="9"/>
      <c r="F169" s="9"/>
      <c r="G169" s="26">
        <v>37294</v>
      </c>
      <c r="H169" s="26">
        <v>49049</v>
      </c>
      <c r="I169" s="26">
        <v>55888</v>
      </c>
      <c r="J169" s="26">
        <v>46236</v>
      </c>
      <c r="K169" s="26">
        <v>42296</v>
      </c>
      <c r="L169" s="26">
        <v>54763</v>
      </c>
      <c r="M169" s="26">
        <v>64115</v>
      </c>
      <c r="N169" s="26">
        <v>62611</v>
      </c>
      <c r="O169" s="26">
        <v>68960</v>
      </c>
      <c r="P169" s="26">
        <v>69860</v>
      </c>
      <c r="Q169" s="121">
        <f>Schedules!H75</f>
        <v>76476.081557069148</v>
      </c>
      <c r="R169" s="121">
        <f>Schedules!I75</f>
        <v>79343.934615459249</v>
      </c>
      <c r="S169" s="121">
        <f>Schedules!J75</f>
        <v>82319.332163538988</v>
      </c>
      <c r="T169" s="121">
        <f>Schedules!K75</f>
        <v>84788.912128445154</v>
      </c>
      <c r="U169" s="121">
        <f>Schedules!L75</f>
        <v>88604.413174225177</v>
      </c>
      <c r="V169" s="122">
        <f>Schedules!M75</f>
        <v>90819.5235035808</v>
      </c>
    </row>
    <row r="170" spans="2:22" x14ac:dyDescent="0.25">
      <c r="Q170" s="39"/>
      <c r="R170" s="39"/>
      <c r="S170" s="39"/>
      <c r="T170" s="39"/>
      <c r="U170" s="39"/>
      <c r="V170" s="109"/>
    </row>
    <row r="171" spans="2:22" ht="15.6" x14ac:dyDescent="0.3">
      <c r="B171" s="9" t="s">
        <v>94</v>
      </c>
      <c r="C171" s="9"/>
      <c r="D171" s="9"/>
      <c r="E171" s="9"/>
      <c r="F171" s="9"/>
      <c r="G171" s="26">
        <v>22027</v>
      </c>
      <c r="H171" s="26">
        <v>25744</v>
      </c>
      <c r="I171" s="26">
        <v>32687</v>
      </c>
      <c r="J171" s="26">
        <v>37720</v>
      </c>
      <c r="K171" s="26">
        <v>42684</v>
      </c>
      <c r="L171" s="26">
        <v>47493</v>
      </c>
      <c r="M171" s="26">
        <v>60845</v>
      </c>
      <c r="N171" s="26">
        <v>58829</v>
      </c>
      <c r="O171" s="26">
        <v>78304</v>
      </c>
      <c r="P171" s="26">
        <v>66387</v>
      </c>
      <c r="Q171" s="121">
        <f>Schedules!H78</f>
        <v>84471.265541931134</v>
      </c>
      <c r="R171" s="121">
        <f>Schedules!I78</f>
        <v>87638.937999753543</v>
      </c>
      <c r="S171" s="121">
        <f>Schedules!J78</f>
        <v>90925.398174744318</v>
      </c>
      <c r="T171" s="121">
        <f>Schedules!K78</f>
        <v>93653.160119986656</v>
      </c>
      <c r="U171" s="121">
        <f>Schedules!L78</f>
        <v>97867.55232538603</v>
      </c>
      <c r="V171" s="122">
        <f>Schedules!M78</f>
        <v>100314.24113352067</v>
      </c>
    </row>
    <row r="172" spans="2:22" x14ac:dyDescent="0.25">
      <c r="V172" s="5"/>
    </row>
    <row r="173" spans="2:22" ht="15.6" x14ac:dyDescent="0.3">
      <c r="B173" s="9" t="s">
        <v>95</v>
      </c>
      <c r="C173" s="9"/>
      <c r="D173" s="9"/>
      <c r="E173" s="9"/>
      <c r="F173" s="9"/>
      <c r="G173" s="26">
        <v>8080</v>
      </c>
      <c r="H173" s="26">
        <v>7548</v>
      </c>
      <c r="I173" s="26">
        <v>7543</v>
      </c>
      <c r="J173" s="26">
        <v>5522</v>
      </c>
      <c r="K173" s="26">
        <v>6643</v>
      </c>
      <c r="L173" s="26">
        <v>7612</v>
      </c>
      <c r="M173" s="26">
        <v>7912</v>
      </c>
      <c r="N173" s="26">
        <v>8061</v>
      </c>
      <c r="O173" s="26">
        <v>8249</v>
      </c>
      <c r="P173" s="26">
        <v>9055</v>
      </c>
      <c r="Q173" s="121">
        <f t="shared" ref="Q173:V173" si="56">0.022*Q7</f>
        <v>10299.98475</v>
      </c>
      <c r="R173" s="121">
        <f t="shared" si="56"/>
        <v>10686.234178125</v>
      </c>
      <c r="S173" s="121">
        <f t="shared" si="56"/>
        <v>11086.96795980469</v>
      </c>
      <c r="T173" s="121">
        <f t="shared" si="56"/>
        <v>11419.57699859883</v>
      </c>
      <c r="U173" s="121">
        <f t="shared" si="56"/>
        <v>11933.457963535777</v>
      </c>
      <c r="V173" s="122">
        <f t="shared" si="56"/>
        <v>12231.794412624169</v>
      </c>
    </row>
    <row r="174" spans="2:22" x14ac:dyDescent="0.25">
      <c r="V174" s="5"/>
    </row>
    <row r="175" spans="2:22" ht="15.6" x14ac:dyDescent="0.3">
      <c r="B175" s="9" t="s">
        <v>96</v>
      </c>
      <c r="C175" s="9"/>
      <c r="D175" s="9"/>
      <c r="E175" s="9"/>
      <c r="F175" s="9"/>
      <c r="G175" s="26">
        <v>11605</v>
      </c>
      <c r="H175" s="26">
        <v>18473</v>
      </c>
      <c r="I175" s="26">
        <v>20748</v>
      </c>
      <c r="J175" s="26">
        <v>16240</v>
      </c>
      <c r="K175" s="26">
        <v>13769</v>
      </c>
      <c r="L175" s="26">
        <v>15613</v>
      </c>
      <c r="M175" s="26">
        <v>21110</v>
      </c>
      <c r="N175" s="26">
        <v>15807</v>
      </c>
      <c r="O175" s="26">
        <v>20879</v>
      </c>
      <c r="P175" s="26">
        <v>20329</v>
      </c>
      <c r="Q175" s="40">
        <f t="shared" ref="Q175:V175" si="57">P175</f>
        <v>20329</v>
      </c>
      <c r="R175" s="40">
        <f t="shared" si="57"/>
        <v>20329</v>
      </c>
      <c r="S175" s="40">
        <f t="shared" si="57"/>
        <v>20329</v>
      </c>
      <c r="T175" s="40">
        <f t="shared" si="57"/>
        <v>20329</v>
      </c>
      <c r="U175" s="40">
        <f t="shared" si="57"/>
        <v>20329</v>
      </c>
      <c r="V175" s="65">
        <f t="shared" si="57"/>
        <v>20329</v>
      </c>
    </row>
    <row r="176" spans="2:22" x14ac:dyDescent="0.25">
      <c r="V176" s="5"/>
    </row>
    <row r="177" spans="2:27" ht="15.6" x14ac:dyDescent="0.3">
      <c r="B177" s="9" t="s">
        <v>97</v>
      </c>
      <c r="C177" s="9"/>
      <c r="D177" s="9"/>
      <c r="E177" s="9"/>
      <c r="F177" s="9"/>
      <c r="G177" s="26">
        <v>0</v>
      </c>
      <c r="H177" s="26">
        <v>0</v>
      </c>
      <c r="I177" s="26">
        <v>0</v>
      </c>
      <c r="J177" s="26">
        <v>0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9"/>
      <c r="R177" s="9"/>
      <c r="S177" s="9"/>
      <c r="T177" s="9"/>
      <c r="U177" s="9"/>
      <c r="V177" s="118"/>
    </row>
    <row r="178" spans="2:27" x14ac:dyDescent="0.25">
      <c r="V178" s="5"/>
    </row>
    <row r="179" spans="2:27" ht="15.6" x14ac:dyDescent="0.3">
      <c r="B179" s="30" t="s">
        <v>98</v>
      </c>
      <c r="C179" s="31"/>
      <c r="D179" s="31"/>
      <c r="E179" s="31"/>
      <c r="F179" s="31"/>
      <c r="G179" s="32">
        <f t="shared" ref="G179:V179" si="58">SUM(G169:G177)</f>
        <v>79006</v>
      </c>
      <c r="H179" s="32">
        <f t="shared" si="58"/>
        <v>100814</v>
      </c>
      <c r="I179" s="32">
        <f t="shared" si="58"/>
        <v>116866</v>
      </c>
      <c r="J179" s="32">
        <f t="shared" si="58"/>
        <v>105718</v>
      </c>
      <c r="K179" s="32">
        <f t="shared" si="58"/>
        <v>105392</v>
      </c>
      <c r="L179" s="32">
        <f t="shared" si="58"/>
        <v>125481</v>
      </c>
      <c r="M179" s="32">
        <f t="shared" si="58"/>
        <v>153982</v>
      </c>
      <c r="N179" s="32">
        <f t="shared" si="58"/>
        <v>145308</v>
      </c>
      <c r="O179" s="32">
        <f t="shared" si="58"/>
        <v>176392</v>
      </c>
      <c r="P179" s="32">
        <f t="shared" si="58"/>
        <v>165631</v>
      </c>
      <c r="Q179" s="139">
        <f t="shared" si="58"/>
        <v>191576.3318490003</v>
      </c>
      <c r="R179" s="139">
        <f t="shared" si="58"/>
        <v>197998.10679333779</v>
      </c>
      <c r="S179" s="139">
        <f t="shared" si="58"/>
        <v>204660.69829808798</v>
      </c>
      <c r="T179" s="139">
        <f t="shared" si="58"/>
        <v>210190.64924703061</v>
      </c>
      <c r="U179" s="139">
        <f t="shared" si="58"/>
        <v>218734.42346314699</v>
      </c>
      <c r="V179" s="140">
        <f t="shared" si="58"/>
        <v>223694.55904972565</v>
      </c>
    </row>
    <row r="180" spans="2:27" x14ac:dyDescent="0.25">
      <c r="V180" s="5"/>
    </row>
    <row r="181" spans="2:27" ht="15.6" x14ac:dyDescent="0.3">
      <c r="B181" s="24" t="s">
        <v>99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18"/>
    </row>
    <row r="182" spans="2:27" x14ac:dyDescent="0.25">
      <c r="V182" s="5"/>
    </row>
    <row r="183" spans="2:27" ht="15.6" x14ac:dyDescent="0.3">
      <c r="B183" s="9" t="s">
        <v>100</v>
      </c>
      <c r="C183" s="9"/>
      <c r="D183" s="9"/>
      <c r="E183" s="9"/>
      <c r="F183" s="9"/>
      <c r="G183" s="26">
        <v>75427</v>
      </c>
      <c r="H183" s="26">
        <v>97207</v>
      </c>
      <c r="I183" s="26">
        <v>93735</v>
      </c>
      <c r="J183" s="26">
        <v>91807</v>
      </c>
      <c r="K183" s="26">
        <v>98667</v>
      </c>
      <c r="L183" s="26">
        <v>109106</v>
      </c>
      <c r="M183" s="26">
        <v>98959</v>
      </c>
      <c r="N183" s="26">
        <v>95281</v>
      </c>
      <c r="O183" s="26">
        <v>85750</v>
      </c>
      <c r="P183" s="26">
        <v>78328</v>
      </c>
      <c r="Q183" s="40">
        <f t="shared" ref="Q183:V183" si="59">P183</f>
        <v>78328</v>
      </c>
      <c r="R183" s="40">
        <f t="shared" si="59"/>
        <v>78328</v>
      </c>
      <c r="S183" s="40">
        <f t="shared" si="59"/>
        <v>78328</v>
      </c>
      <c r="T183" s="40">
        <f t="shared" si="59"/>
        <v>78328</v>
      </c>
      <c r="U183" s="40">
        <f t="shared" si="59"/>
        <v>78328</v>
      </c>
      <c r="V183" s="65">
        <f t="shared" si="59"/>
        <v>78328</v>
      </c>
    </row>
    <row r="184" spans="2:27" x14ac:dyDescent="0.25">
      <c r="V184" s="5"/>
    </row>
    <row r="185" spans="2:27" ht="15.6" x14ac:dyDescent="0.3">
      <c r="B185" s="9" t="s">
        <v>101</v>
      </c>
      <c r="C185" s="9"/>
      <c r="D185" s="9"/>
      <c r="E185" s="9"/>
      <c r="F185" s="9"/>
      <c r="G185" s="26">
        <v>39004</v>
      </c>
      <c r="H185" s="26">
        <v>43251</v>
      </c>
      <c r="I185" s="26">
        <v>47977</v>
      </c>
      <c r="J185" s="26">
        <v>50503</v>
      </c>
      <c r="K185" s="26">
        <v>54490</v>
      </c>
      <c r="L185" s="26">
        <v>53325</v>
      </c>
      <c r="M185" s="26">
        <v>49142</v>
      </c>
      <c r="N185" s="26">
        <v>49848</v>
      </c>
      <c r="O185" s="26">
        <v>45888</v>
      </c>
      <c r="P185" s="26">
        <v>41549</v>
      </c>
      <c r="Q185" s="121">
        <f t="shared" ref="Q185:V185" si="60">0.1*Q7</f>
        <v>46818.112500000003</v>
      </c>
      <c r="R185" s="121">
        <f t="shared" si="60"/>
        <v>48573.791718750006</v>
      </c>
      <c r="S185" s="121">
        <f t="shared" si="60"/>
        <v>50395.308908203137</v>
      </c>
      <c r="T185" s="121">
        <f t="shared" si="60"/>
        <v>51907.168175449231</v>
      </c>
      <c r="U185" s="121">
        <f t="shared" si="60"/>
        <v>54242.990743344446</v>
      </c>
      <c r="V185" s="122">
        <f t="shared" si="60"/>
        <v>55599.065511928049</v>
      </c>
      <c r="AA185"/>
    </row>
    <row r="186" spans="2:27" ht="15.6" x14ac:dyDescent="0.3">
      <c r="B186" s="9"/>
      <c r="C186" s="9"/>
      <c r="D186" s="9"/>
      <c r="E186" s="9"/>
      <c r="F186" s="9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121"/>
      <c r="R186" s="121"/>
      <c r="S186" s="121"/>
      <c r="T186" s="121"/>
      <c r="U186" s="121"/>
      <c r="V186" s="122"/>
      <c r="AA186"/>
    </row>
    <row r="187" spans="2:27" ht="15.6" x14ac:dyDescent="0.3">
      <c r="B187" s="9" t="s">
        <v>227</v>
      </c>
      <c r="C187" s="9"/>
      <c r="D187" s="9"/>
      <c r="E187" s="9"/>
      <c r="F187" s="9"/>
      <c r="G187" s="26"/>
      <c r="H187" s="26"/>
      <c r="I187" s="26"/>
      <c r="J187" s="26"/>
      <c r="K187" s="26"/>
      <c r="L187" s="26"/>
      <c r="M187" s="26"/>
      <c r="N187" s="26"/>
      <c r="O187" s="26"/>
      <c r="P187" s="26">
        <v>0</v>
      </c>
      <c r="Q187" s="121">
        <f ca="1">P187+Q83</f>
        <v>166.71246856197467</v>
      </c>
      <c r="R187" s="121">
        <f t="shared" ref="R187:V187" ca="1" si="61">Q187+R83</f>
        <v>107.59163786908175</v>
      </c>
      <c r="S187" s="121">
        <f t="shared" ca="1" si="61"/>
        <v>-157.3373538033884</v>
      </c>
      <c r="T187" s="121">
        <f t="shared" ca="1" si="61"/>
        <v>-619.14528262975364</v>
      </c>
      <c r="U187" s="121">
        <f t="shared" ca="1" si="61"/>
        <v>-1271.6985177017232</v>
      </c>
      <c r="V187" s="122">
        <f t="shared" ca="1" si="61"/>
        <v>-1853.5281553390196</v>
      </c>
    </row>
    <row r="188" spans="2:27" ht="15.6" x14ac:dyDescent="0.3">
      <c r="B188" s="9"/>
      <c r="C188" s="9"/>
      <c r="D188" s="9"/>
      <c r="E188" s="9"/>
      <c r="F188" s="9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121"/>
      <c r="R188" s="121"/>
      <c r="S188" s="121"/>
      <c r="T188" s="121"/>
      <c r="U188" s="121"/>
      <c r="V188" s="122"/>
    </row>
    <row r="189" spans="2:27" ht="15.6" x14ac:dyDescent="0.3">
      <c r="B189" s="9" t="s">
        <v>112</v>
      </c>
      <c r="C189" s="9"/>
      <c r="D189" s="9"/>
      <c r="E189" s="9"/>
      <c r="F189" s="9"/>
      <c r="G189" s="26">
        <v>0</v>
      </c>
      <c r="H189" s="26">
        <v>0</v>
      </c>
      <c r="I189" s="26">
        <v>0</v>
      </c>
      <c r="J189" s="26">
        <v>0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40"/>
      <c r="R189" s="40"/>
      <c r="S189" s="40"/>
      <c r="T189" s="40"/>
      <c r="U189" s="40"/>
      <c r="V189" s="65"/>
    </row>
    <row r="190" spans="2:27" x14ac:dyDescent="0.25">
      <c r="V190" s="5"/>
    </row>
    <row r="191" spans="2:27" ht="15.6" x14ac:dyDescent="0.3">
      <c r="B191" s="30" t="s">
        <v>102</v>
      </c>
      <c r="C191" s="31"/>
      <c r="D191" s="31"/>
      <c r="E191" s="31"/>
      <c r="F191" s="31"/>
      <c r="G191" s="32">
        <f t="shared" ref="G191:P191" si="62">SUM(G183:G185)</f>
        <v>114431</v>
      </c>
      <c r="H191" s="32">
        <f t="shared" si="62"/>
        <v>140458</v>
      </c>
      <c r="I191" s="32">
        <f t="shared" si="62"/>
        <v>141712</v>
      </c>
      <c r="J191" s="32">
        <f t="shared" si="62"/>
        <v>142310</v>
      </c>
      <c r="K191" s="32">
        <f t="shared" si="62"/>
        <v>153157</v>
      </c>
      <c r="L191" s="32">
        <f t="shared" si="62"/>
        <v>162431</v>
      </c>
      <c r="M191" s="32">
        <f t="shared" si="62"/>
        <v>148101</v>
      </c>
      <c r="N191" s="32">
        <f t="shared" si="62"/>
        <v>145129</v>
      </c>
      <c r="O191" s="32">
        <f t="shared" si="62"/>
        <v>131638</v>
      </c>
      <c r="P191" s="32">
        <f t="shared" si="62"/>
        <v>119877</v>
      </c>
      <c r="Q191" s="139">
        <f t="shared" ref="Q191:V191" ca="1" si="63">SUM(Q183:Q189)</f>
        <v>125312.82496856198</v>
      </c>
      <c r="R191" s="139">
        <f t="shared" ca="1" si="63"/>
        <v>127009.38335661907</v>
      </c>
      <c r="S191" s="139">
        <f t="shared" ca="1" si="63"/>
        <v>128565.97155439974</v>
      </c>
      <c r="T191" s="139">
        <f t="shared" ca="1" si="63"/>
        <v>129616.02289281948</v>
      </c>
      <c r="U191" s="139">
        <f t="shared" ca="1" si="63"/>
        <v>131299.29222564271</v>
      </c>
      <c r="V191" s="140">
        <f t="shared" ca="1" si="63"/>
        <v>132073.53735658905</v>
      </c>
    </row>
    <row r="192" spans="2:27" x14ac:dyDescent="0.25">
      <c r="V192" s="5"/>
    </row>
    <row r="193" spans="2:22" ht="15.6" x14ac:dyDescent="0.3">
      <c r="B193" s="30" t="s">
        <v>103</v>
      </c>
      <c r="C193" s="31"/>
      <c r="D193" s="31"/>
      <c r="E193" s="31"/>
      <c r="F193" s="31"/>
      <c r="G193" s="32">
        <f t="shared" ref="G193:V193" si="64">G179+G191</f>
        <v>193437</v>
      </c>
      <c r="H193" s="32">
        <f t="shared" si="64"/>
        <v>241272</v>
      </c>
      <c r="I193" s="32">
        <f t="shared" si="64"/>
        <v>258578</v>
      </c>
      <c r="J193" s="32">
        <f t="shared" si="64"/>
        <v>248028</v>
      </c>
      <c r="K193" s="32">
        <f t="shared" si="64"/>
        <v>258549</v>
      </c>
      <c r="L193" s="32">
        <f t="shared" si="64"/>
        <v>287912</v>
      </c>
      <c r="M193" s="32">
        <f t="shared" si="64"/>
        <v>302083</v>
      </c>
      <c r="N193" s="32">
        <f t="shared" si="64"/>
        <v>290437</v>
      </c>
      <c r="O193" s="32">
        <f t="shared" si="64"/>
        <v>308030</v>
      </c>
      <c r="P193" s="32">
        <f t="shared" si="64"/>
        <v>285508</v>
      </c>
      <c r="Q193" s="139">
        <f t="shared" ca="1" si="64"/>
        <v>316889.1568175623</v>
      </c>
      <c r="R193" s="139">
        <f t="shared" ca="1" si="64"/>
        <v>325007.4901499569</v>
      </c>
      <c r="S193" s="139">
        <f t="shared" ca="1" si="64"/>
        <v>333226.66985248774</v>
      </c>
      <c r="T193" s="139">
        <f t="shared" ca="1" si="64"/>
        <v>339806.6721398501</v>
      </c>
      <c r="U193" s="139">
        <f t="shared" ca="1" si="64"/>
        <v>350033.71568878973</v>
      </c>
      <c r="V193" s="140">
        <f t="shared" ca="1" si="64"/>
        <v>355768.0964063147</v>
      </c>
    </row>
    <row r="194" spans="2:22" x14ac:dyDescent="0.25">
      <c r="V194" s="5"/>
    </row>
    <row r="195" spans="2:22" ht="15.6" x14ac:dyDescent="0.3">
      <c r="B195" s="24" t="s">
        <v>104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18"/>
    </row>
    <row r="196" spans="2:22" x14ac:dyDescent="0.25">
      <c r="V196" s="5"/>
    </row>
    <row r="197" spans="2:22" ht="15.6" x14ac:dyDescent="0.3">
      <c r="B197" s="9" t="s">
        <v>105</v>
      </c>
      <c r="C197" s="9"/>
      <c r="D197" s="9"/>
      <c r="E197" s="9"/>
      <c r="F197" s="9"/>
      <c r="G197" s="26">
        <v>31251</v>
      </c>
      <c r="H197" s="26">
        <v>35867</v>
      </c>
      <c r="I197" s="26">
        <v>40201</v>
      </c>
      <c r="J197" s="26">
        <v>45174</v>
      </c>
      <c r="K197" s="26">
        <v>50779</v>
      </c>
      <c r="L197" s="26">
        <v>57365</v>
      </c>
      <c r="M197" s="26">
        <v>64849</v>
      </c>
      <c r="N197" s="26">
        <v>73812</v>
      </c>
      <c r="O197" s="26">
        <v>83276</v>
      </c>
      <c r="P197" s="26">
        <v>93568</v>
      </c>
      <c r="Q197" s="121">
        <f>P197+Q85+Q130</f>
        <v>96956.921057257729</v>
      </c>
      <c r="R197" s="121">
        <f t="shared" ref="R197:V197" si="65">Q197+R85+R130</f>
        <v>99463.524424474497</v>
      </c>
      <c r="S197" s="121">
        <f t="shared" si="65"/>
        <v>101054.72318827374</v>
      </c>
      <c r="T197" s="121">
        <f t="shared" si="65"/>
        <v>101584.33099062537</v>
      </c>
      <c r="U197" s="121">
        <f t="shared" si="65"/>
        <v>101250.92899461395</v>
      </c>
      <c r="V197" s="122">
        <f t="shared" si="65"/>
        <v>99694.617503226807</v>
      </c>
    </row>
    <row r="198" spans="2:22" x14ac:dyDescent="0.25">
      <c r="V198" s="5"/>
    </row>
    <row r="199" spans="2:22" ht="15.6" x14ac:dyDescent="0.3">
      <c r="B199" s="9" t="s">
        <v>106</v>
      </c>
      <c r="C199" s="9"/>
      <c r="D199" s="9"/>
      <c r="E199" s="9"/>
      <c r="F199" s="9"/>
      <c r="G199" s="26">
        <v>96364</v>
      </c>
      <c r="H199" s="26">
        <v>98330</v>
      </c>
      <c r="I199" s="26">
        <v>70400</v>
      </c>
      <c r="J199" s="26">
        <v>45898</v>
      </c>
      <c r="K199" s="26">
        <v>14966</v>
      </c>
      <c r="L199" s="26">
        <v>5562</v>
      </c>
      <c r="M199" s="26">
        <v>-3068</v>
      </c>
      <c r="N199" s="26">
        <v>-214</v>
      </c>
      <c r="O199" s="26">
        <v>-19154</v>
      </c>
      <c r="P199" s="26">
        <v>-14264</v>
      </c>
      <c r="Q199" s="121">
        <f t="shared" ref="Q199:V199" ca="1" si="66">P199+Q57+Q122+Q124</f>
        <v>-3394.8758812188753</v>
      </c>
      <c r="R199" s="121">
        <f t="shared" ca="1" si="66"/>
        <v>11930.730342381969</v>
      </c>
      <c r="S199" s="121">
        <f t="shared" ca="1" si="66"/>
        <v>31974.634216533799</v>
      </c>
      <c r="T199" s="121">
        <f t="shared" ca="1" si="66"/>
        <v>56020.842308235384</v>
      </c>
      <c r="U199" s="121">
        <f t="shared" ca="1" si="66"/>
        <v>86476.637798948039</v>
      </c>
      <c r="V199" s="122">
        <f t="shared" ca="1" si="66"/>
        <v>120813.36268636456</v>
      </c>
    </row>
    <row r="200" spans="2:22" x14ac:dyDescent="0.25">
      <c r="V200" s="5"/>
    </row>
    <row r="201" spans="2:22" ht="15.6" x14ac:dyDescent="0.3">
      <c r="B201" s="9" t="s">
        <v>107</v>
      </c>
      <c r="C201" s="9"/>
      <c r="D201" s="9"/>
      <c r="E201" s="9"/>
      <c r="F201" s="9"/>
      <c r="G201" s="26">
        <v>634</v>
      </c>
      <c r="H201" s="26">
        <v>-150</v>
      </c>
      <c r="I201" s="26">
        <v>-3454</v>
      </c>
      <c r="J201" s="26">
        <v>-584</v>
      </c>
      <c r="K201" s="26">
        <v>-406</v>
      </c>
      <c r="L201" s="26">
        <v>163</v>
      </c>
      <c r="M201" s="26">
        <v>-11109</v>
      </c>
      <c r="N201" s="26">
        <v>-11452</v>
      </c>
      <c r="O201" s="26">
        <v>-7172</v>
      </c>
      <c r="P201" s="26">
        <v>-5571</v>
      </c>
      <c r="Q201" s="121">
        <f t="shared" ref="Q201:V201" si="67">P201</f>
        <v>-5571</v>
      </c>
      <c r="R201" s="121">
        <f t="shared" si="67"/>
        <v>-5571</v>
      </c>
      <c r="S201" s="121">
        <f t="shared" si="67"/>
        <v>-5571</v>
      </c>
      <c r="T201" s="121">
        <f t="shared" si="67"/>
        <v>-5571</v>
      </c>
      <c r="U201" s="121">
        <f t="shared" si="67"/>
        <v>-5571</v>
      </c>
      <c r="V201" s="122">
        <f t="shared" si="67"/>
        <v>-5571</v>
      </c>
    </row>
    <row r="202" spans="2:22" x14ac:dyDescent="0.25">
      <c r="V202" s="5"/>
    </row>
    <row r="203" spans="2:22" ht="15.6" x14ac:dyDescent="0.3">
      <c r="B203" s="30" t="s">
        <v>108</v>
      </c>
      <c r="C203" s="31"/>
      <c r="D203" s="31"/>
      <c r="E203" s="31"/>
      <c r="F203" s="31"/>
      <c r="G203" s="32">
        <f t="shared" ref="G203:V203" si="68">SUM(G197:G201)</f>
        <v>128249</v>
      </c>
      <c r="H203" s="32">
        <f t="shared" si="68"/>
        <v>134047</v>
      </c>
      <c r="I203" s="32">
        <f t="shared" si="68"/>
        <v>107147</v>
      </c>
      <c r="J203" s="32">
        <f t="shared" si="68"/>
        <v>90488</v>
      </c>
      <c r="K203" s="32">
        <f t="shared" si="68"/>
        <v>65339</v>
      </c>
      <c r="L203" s="32">
        <f t="shared" si="68"/>
        <v>63090</v>
      </c>
      <c r="M203" s="32">
        <f t="shared" si="68"/>
        <v>50672</v>
      </c>
      <c r="N203" s="32">
        <f t="shared" si="68"/>
        <v>62146</v>
      </c>
      <c r="O203" s="32">
        <f t="shared" si="68"/>
        <v>56950</v>
      </c>
      <c r="P203" s="32">
        <f t="shared" si="68"/>
        <v>73733</v>
      </c>
      <c r="Q203" s="139">
        <f t="shared" ca="1" si="68"/>
        <v>87991.045176038853</v>
      </c>
      <c r="R203" s="139">
        <f t="shared" ca="1" si="68"/>
        <v>105823.25476685647</v>
      </c>
      <c r="S203" s="139">
        <f t="shared" ca="1" si="68"/>
        <v>127458.35740480752</v>
      </c>
      <c r="T203" s="139">
        <f t="shared" ca="1" si="68"/>
        <v>152034.17329886075</v>
      </c>
      <c r="U203" s="139">
        <f t="shared" ca="1" si="68"/>
        <v>182156.56679356197</v>
      </c>
      <c r="V203" s="140">
        <f t="shared" ca="1" si="68"/>
        <v>214936.98018959136</v>
      </c>
    </row>
    <row r="204" spans="2:22" x14ac:dyDescent="0.25">
      <c r="V204" s="5"/>
    </row>
    <row r="205" spans="2:22" ht="16.2" thickBot="1" x14ac:dyDescent="0.35">
      <c r="B205" s="33" t="s">
        <v>109</v>
      </c>
      <c r="C205" s="34"/>
      <c r="D205" s="34"/>
      <c r="E205" s="34"/>
      <c r="F205" s="34"/>
      <c r="G205" s="35">
        <f t="shared" ref="G205:V205" si="69">G193+G203</f>
        <v>321686</v>
      </c>
      <c r="H205" s="35">
        <f t="shared" si="69"/>
        <v>375319</v>
      </c>
      <c r="I205" s="35">
        <f t="shared" si="69"/>
        <v>365725</v>
      </c>
      <c r="J205" s="35">
        <f t="shared" si="69"/>
        <v>338516</v>
      </c>
      <c r="K205" s="35">
        <f t="shared" si="69"/>
        <v>323888</v>
      </c>
      <c r="L205" s="35">
        <f t="shared" si="69"/>
        <v>351002</v>
      </c>
      <c r="M205" s="35">
        <f t="shared" si="69"/>
        <v>352755</v>
      </c>
      <c r="N205" s="35">
        <f t="shared" si="69"/>
        <v>352583</v>
      </c>
      <c r="O205" s="35">
        <f t="shared" si="69"/>
        <v>364980</v>
      </c>
      <c r="P205" s="35">
        <f t="shared" si="69"/>
        <v>359241</v>
      </c>
      <c r="Q205" s="141">
        <f t="shared" ca="1" si="69"/>
        <v>404880.20199360116</v>
      </c>
      <c r="R205" s="141">
        <f t="shared" ca="1" si="69"/>
        <v>430830.74491681333</v>
      </c>
      <c r="S205" s="141">
        <f t="shared" ca="1" si="69"/>
        <v>460685.02725729527</v>
      </c>
      <c r="T205" s="141">
        <f t="shared" ca="1" si="69"/>
        <v>491840.84543871088</v>
      </c>
      <c r="U205" s="141">
        <f t="shared" ca="1" si="69"/>
        <v>532190.28248235164</v>
      </c>
      <c r="V205" s="142">
        <f t="shared" ca="1" si="69"/>
        <v>570705.07659590605</v>
      </c>
    </row>
    <row r="206" spans="2:22" ht="14.4" thickTop="1" x14ac:dyDescent="0.25">
      <c r="V206" s="5"/>
    </row>
    <row r="207" spans="2:22" ht="15.6" x14ac:dyDescent="0.3">
      <c r="B207" s="37" t="s">
        <v>110</v>
      </c>
      <c r="C207" s="37"/>
      <c r="D207" s="37"/>
      <c r="E207" s="37"/>
      <c r="F207" s="37"/>
      <c r="G207" s="38">
        <f t="shared" ref="G207:O207" si="70">G165-G205</f>
        <v>0</v>
      </c>
      <c r="H207" s="38">
        <f t="shared" si="70"/>
        <v>0</v>
      </c>
      <c r="I207" s="38">
        <f t="shared" si="70"/>
        <v>0</v>
      </c>
      <c r="J207" s="38">
        <f t="shared" si="70"/>
        <v>0</v>
      </c>
      <c r="K207" s="38">
        <f t="shared" si="70"/>
        <v>0</v>
      </c>
      <c r="L207" s="38">
        <f t="shared" si="70"/>
        <v>0</v>
      </c>
      <c r="M207" s="38">
        <f t="shared" si="70"/>
        <v>0</v>
      </c>
      <c r="N207" s="38">
        <f t="shared" si="70"/>
        <v>0</v>
      </c>
      <c r="O207" s="38">
        <f t="shared" si="70"/>
        <v>0</v>
      </c>
      <c r="P207" s="38">
        <f t="shared" ref="P207:V207" si="71">P165-P205</f>
        <v>0</v>
      </c>
      <c r="Q207" s="133">
        <f t="shared" ca="1" si="71"/>
        <v>0</v>
      </c>
      <c r="R207" s="133">
        <f t="shared" ca="1" si="71"/>
        <v>0</v>
      </c>
      <c r="S207" s="133">
        <f t="shared" ca="1" si="71"/>
        <v>0</v>
      </c>
      <c r="T207" s="133">
        <f t="shared" ca="1" si="71"/>
        <v>0</v>
      </c>
      <c r="U207" s="133">
        <f t="shared" ca="1" si="71"/>
        <v>0</v>
      </c>
      <c r="V207" s="134">
        <f t="shared" ca="1" si="71"/>
        <v>0</v>
      </c>
    </row>
    <row r="209" spans="2:13" ht="20.399999999999999" x14ac:dyDescent="0.35">
      <c r="B209" s="147" t="s">
        <v>126</v>
      </c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</row>
    <row r="210" spans="2:13" ht="14.4" x14ac:dyDescent="0.3">
      <c r="B210"/>
      <c r="C210"/>
      <c r="D210"/>
      <c r="E210"/>
      <c r="F210"/>
      <c r="G210"/>
      <c r="H210"/>
      <c r="I210"/>
      <c r="J210"/>
      <c r="K210"/>
      <c r="L210"/>
      <c r="M210"/>
    </row>
    <row r="211" spans="2:13" ht="15.6" x14ac:dyDescent="0.3">
      <c r="B211" s="277" t="s">
        <v>214</v>
      </c>
      <c r="C211" s="277"/>
      <c r="D211" s="277"/>
      <c r="E211" s="277"/>
      <c r="F211" s="277" t="s">
        <v>128</v>
      </c>
      <c r="G211" s="277"/>
      <c r="H211" s="277"/>
      <c r="I211" s="277"/>
      <c r="J211" s="277"/>
      <c r="K211" s="277"/>
      <c r="L211" s="277"/>
      <c r="M211"/>
    </row>
    <row r="212" spans="2:13" ht="139.05000000000001" customHeight="1" x14ac:dyDescent="0.3">
      <c r="B212" s="270" t="s">
        <v>28</v>
      </c>
      <c r="C212" s="270"/>
      <c r="D212" s="270"/>
      <c r="E212" s="270"/>
      <c r="F212" s="271" t="s">
        <v>218</v>
      </c>
      <c r="G212" s="271"/>
      <c r="H212" s="271"/>
      <c r="I212" s="271"/>
      <c r="J212" s="271"/>
      <c r="K212" s="271"/>
      <c r="L212" s="271"/>
      <c r="M212"/>
    </row>
    <row r="213" spans="2:13" ht="19.05" customHeight="1" x14ac:dyDescent="0.3">
      <c r="B213" s="270" t="s">
        <v>197</v>
      </c>
      <c r="C213" s="270"/>
      <c r="D213" s="270"/>
      <c r="E213" s="270"/>
      <c r="F213" s="271" t="s">
        <v>198</v>
      </c>
      <c r="G213" s="271"/>
      <c r="H213" s="271"/>
      <c r="I213" s="271"/>
      <c r="J213" s="271"/>
      <c r="K213" s="271"/>
      <c r="L213" s="271"/>
      <c r="M213"/>
    </row>
    <row r="214" spans="2:13" ht="19.05" customHeight="1" x14ac:dyDescent="0.3">
      <c r="B214" s="270" t="s">
        <v>35</v>
      </c>
      <c r="C214" s="270"/>
      <c r="D214" s="270"/>
      <c r="E214" s="270"/>
      <c r="F214" s="271" t="s">
        <v>135</v>
      </c>
      <c r="G214" s="271"/>
      <c r="H214" s="271"/>
      <c r="I214" s="271"/>
      <c r="J214" s="271"/>
      <c r="K214" s="271"/>
      <c r="L214" s="271"/>
      <c r="M214"/>
    </row>
    <row r="215" spans="2:13" ht="19.05" customHeight="1" x14ac:dyDescent="0.3">
      <c r="B215" s="270" t="s">
        <v>36</v>
      </c>
      <c r="C215" s="270"/>
      <c r="D215" s="270"/>
      <c r="E215" s="270"/>
      <c r="F215" s="271" t="s">
        <v>134</v>
      </c>
      <c r="G215" s="271"/>
      <c r="H215" s="271"/>
      <c r="I215" s="271"/>
      <c r="J215" s="271"/>
      <c r="K215" s="271"/>
      <c r="L215" s="271"/>
      <c r="M215"/>
    </row>
    <row r="216" spans="2:13" ht="19.05" customHeight="1" x14ac:dyDescent="0.3">
      <c r="B216" s="270" t="s">
        <v>138</v>
      </c>
      <c r="C216" s="270"/>
      <c r="D216" s="270"/>
      <c r="E216" s="270"/>
      <c r="F216" s="271" t="s">
        <v>136</v>
      </c>
      <c r="G216" s="271"/>
      <c r="H216" s="271"/>
      <c r="I216" s="271"/>
      <c r="J216" s="271"/>
      <c r="K216" s="271"/>
      <c r="L216" s="271"/>
      <c r="M216"/>
    </row>
    <row r="217" spans="2:13" ht="34.049999999999997" customHeight="1" x14ac:dyDescent="0.3">
      <c r="B217" s="270" t="s">
        <v>139</v>
      </c>
      <c r="C217" s="270"/>
      <c r="D217" s="270"/>
      <c r="E217" s="270"/>
      <c r="F217" s="271" t="s">
        <v>219</v>
      </c>
      <c r="G217" s="271"/>
      <c r="H217" s="271"/>
      <c r="I217" s="271"/>
      <c r="J217" s="271"/>
      <c r="K217" s="271"/>
      <c r="L217" s="271"/>
      <c r="M217"/>
    </row>
    <row r="218" spans="2:13" ht="19.05" customHeight="1" x14ac:dyDescent="0.3">
      <c r="B218" s="270" t="s">
        <v>53</v>
      </c>
      <c r="C218" s="270"/>
      <c r="D218" s="270"/>
      <c r="E218" s="270"/>
      <c r="F218" s="271" t="s">
        <v>137</v>
      </c>
      <c r="G218" s="271"/>
      <c r="H218" s="271"/>
      <c r="I218" s="271"/>
      <c r="J218" s="271"/>
      <c r="K218" s="271"/>
      <c r="L218" s="271"/>
      <c r="M218"/>
    </row>
    <row r="219" spans="2:13" ht="49.05" customHeight="1" x14ac:dyDescent="0.3">
      <c r="B219" s="270" t="s">
        <v>215</v>
      </c>
      <c r="C219" s="270"/>
      <c r="D219" s="270"/>
      <c r="E219" s="270"/>
      <c r="F219" s="271" t="s">
        <v>170</v>
      </c>
      <c r="G219" s="271"/>
      <c r="H219" s="271"/>
      <c r="I219" s="271"/>
      <c r="J219" s="271"/>
      <c r="K219" s="271"/>
      <c r="L219" s="271"/>
      <c r="M219"/>
    </row>
    <row r="220" spans="2:13" ht="19.05" customHeight="1" x14ac:dyDescent="0.3">
      <c r="B220" s="270" t="s">
        <v>66</v>
      </c>
      <c r="C220" s="270"/>
      <c r="D220" s="270"/>
      <c r="E220" s="270"/>
      <c r="F220" s="271" t="s">
        <v>140</v>
      </c>
      <c r="G220" s="271"/>
      <c r="H220" s="271"/>
      <c r="I220" s="271"/>
      <c r="J220" s="271"/>
      <c r="K220" s="271"/>
      <c r="L220" s="271"/>
      <c r="M220"/>
    </row>
    <row r="221" spans="2:13" ht="19.05" customHeight="1" x14ac:dyDescent="0.3">
      <c r="B221" s="270" t="s">
        <v>209</v>
      </c>
      <c r="C221" s="270"/>
      <c r="D221" s="270"/>
      <c r="E221" s="270"/>
      <c r="F221" s="271" t="s">
        <v>210</v>
      </c>
      <c r="G221" s="271"/>
      <c r="H221" s="271"/>
      <c r="I221" s="271"/>
      <c r="J221" s="271"/>
      <c r="K221" s="271"/>
      <c r="L221" s="271"/>
      <c r="M221"/>
    </row>
    <row r="222" spans="2:13" ht="34.049999999999997" customHeight="1" x14ac:dyDescent="0.3">
      <c r="B222" s="270" t="s">
        <v>211</v>
      </c>
      <c r="C222" s="270"/>
      <c r="D222" s="270"/>
      <c r="E222" s="270"/>
      <c r="F222" s="271" t="s">
        <v>212</v>
      </c>
      <c r="G222" s="271"/>
      <c r="H222" s="271"/>
      <c r="I222" s="271"/>
      <c r="J222" s="271"/>
      <c r="K222" s="271"/>
      <c r="L222" s="271"/>
      <c r="M222"/>
    </row>
    <row r="223" spans="2:13" ht="34.049999999999997" customHeight="1" x14ac:dyDescent="0.3">
      <c r="B223" s="270" t="s">
        <v>75</v>
      </c>
      <c r="C223" s="270"/>
      <c r="D223" s="270"/>
      <c r="E223" s="270"/>
      <c r="F223" s="271" t="s">
        <v>213</v>
      </c>
      <c r="G223" s="271"/>
      <c r="H223" s="271"/>
      <c r="I223" s="271"/>
      <c r="J223" s="271"/>
      <c r="K223" s="271"/>
      <c r="L223" s="271"/>
      <c r="M223"/>
    </row>
    <row r="224" spans="2:13" ht="19.05" customHeight="1" x14ac:dyDescent="0.3">
      <c r="B224" s="270" t="s">
        <v>203</v>
      </c>
      <c r="C224" s="270"/>
      <c r="D224" s="270"/>
      <c r="E224" s="270"/>
      <c r="F224" s="271" t="s">
        <v>204</v>
      </c>
      <c r="G224" s="271"/>
      <c r="H224" s="271"/>
      <c r="I224" s="271"/>
      <c r="J224" s="271"/>
      <c r="K224" s="271"/>
      <c r="L224" s="271"/>
      <c r="M224"/>
    </row>
    <row r="225" spans="2:13" ht="19.05" customHeight="1" x14ac:dyDescent="0.3">
      <c r="B225" s="270" t="s">
        <v>205</v>
      </c>
      <c r="C225" s="270"/>
      <c r="D225" s="270"/>
      <c r="E225" s="270"/>
      <c r="F225" s="271" t="s">
        <v>204</v>
      </c>
      <c r="G225" s="271"/>
      <c r="H225" s="271"/>
      <c r="I225" s="271"/>
      <c r="J225" s="271"/>
      <c r="K225" s="271"/>
      <c r="L225" s="271"/>
      <c r="M225"/>
    </row>
    <row r="226" spans="2:13" ht="49.05" customHeight="1" x14ac:dyDescent="0.3">
      <c r="B226" s="270" t="s">
        <v>206</v>
      </c>
      <c r="C226" s="270"/>
      <c r="D226" s="270"/>
      <c r="E226" s="270"/>
      <c r="F226" s="271" t="s">
        <v>207</v>
      </c>
      <c r="G226" s="271"/>
      <c r="H226" s="271"/>
      <c r="I226" s="271"/>
      <c r="J226" s="271"/>
      <c r="K226" s="271"/>
      <c r="L226" s="271"/>
      <c r="M226"/>
    </row>
    <row r="227" spans="2:13" ht="19.05" customHeight="1" x14ac:dyDescent="0.3">
      <c r="B227" s="270" t="s">
        <v>220</v>
      </c>
      <c r="C227" s="270"/>
      <c r="D227" s="270"/>
      <c r="E227" s="270"/>
      <c r="F227" s="271" t="s">
        <v>217</v>
      </c>
      <c r="G227" s="271"/>
      <c r="H227" s="271"/>
      <c r="I227" s="271"/>
      <c r="J227" s="271"/>
      <c r="K227" s="271"/>
      <c r="L227" s="271"/>
      <c r="M227"/>
    </row>
    <row r="228" spans="2:13" ht="19.05" customHeight="1" x14ac:dyDescent="0.3">
      <c r="B228" s="270" t="s">
        <v>100</v>
      </c>
      <c r="C228" s="270"/>
      <c r="D228" s="270"/>
      <c r="E228" s="270"/>
      <c r="F228" s="271" t="s">
        <v>217</v>
      </c>
      <c r="G228" s="271"/>
      <c r="H228" s="271"/>
      <c r="I228" s="271"/>
      <c r="J228" s="271"/>
      <c r="K228" s="271"/>
      <c r="L228" s="271"/>
      <c r="M228"/>
    </row>
    <row r="229" spans="2:13" ht="34.049999999999997" customHeight="1" x14ac:dyDescent="0.3">
      <c r="B229" s="270" t="s">
        <v>221</v>
      </c>
      <c r="C229" s="270"/>
      <c r="D229" s="270"/>
      <c r="E229" s="270"/>
      <c r="F229" s="271" t="s">
        <v>208</v>
      </c>
      <c r="G229" s="271"/>
      <c r="H229" s="271"/>
      <c r="I229" s="271"/>
      <c r="J229" s="271"/>
      <c r="K229" s="271"/>
      <c r="L229" s="271"/>
      <c r="M229"/>
    </row>
    <row r="230" spans="2:13" ht="34.049999999999997" customHeight="1" x14ac:dyDescent="0.3">
      <c r="B230" s="274" t="s">
        <v>105</v>
      </c>
      <c r="C230" s="274"/>
      <c r="D230" s="274"/>
      <c r="E230" s="274"/>
      <c r="F230" s="275" t="s">
        <v>222</v>
      </c>
      <c r="G230" s="275"/>
      <c r="H230" s="275"/>
      <c r="I230" s="275"/>
      <c r="J230" s="275"/>
      <c r="K230" s="275"/>
      <c r="L230" s="275"/>
      <c r="M230"/>
    </row>
    <row r="231" spans="2:13" ht="14.4" x14ac:dyDescent="0.3">
      <c r="B231"/>
      <c r="C231"/>
      <c r="D231"/>
      <c r="E231"/>
      <c r="F231"/>
      <c r="G231"/>
      <c r="H231"/>
      <c r="I231"/>
      <c r="J231"/>
      <c r="K231"/>
      <c r="L231"/>
      <c r="M231"/>
    </row>
    <row r="232" spans="2:13" ht="14.4" x14ac:dyDescent="0.3">
      <c r="B232"/>
      <c r="C232"/>
      <c r="D232"/>
      <c r="E232"/>
      <c r="F232"/>
      <c r="G232"/>
      <c r="H232"/>
      <c r="I232"/>
      <c r="J232"/>
      <c r="K232"/>
      <c r="L232"/>
      <c r="M232"/>
    </row>
    <row r="233" spans="2:13" ht="20.399999999999999" x14ac:dyDescent="0.35">
      <c r="B233" s="147" t="s">
        <v>228</v>
      </c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/>
    </row>
    <row r="234" spans="2:13" ht="15.6" x14ac:dyDescent="0.3">
      <c r="B234" s="276" t="s">
        <v>229</v>
      </c>
      <c r="C234" s="276"/>
      <c r="D234" s="276"/>
      <c r="E234" s="276"/>
      <c r="F234" s="276" t="s">
        <v>230</v>
      </c>
      <c r="G234" s="276"/>
      <c r="H234" s="276"/>
      <c r="I234" s="276"/>
      <c r="J234" s="276"/>
      <c r="K234" s="276"/>
      <c r="L234" s="276"/>
      <c r="M234"/>
    </row>
    <row r="235" spans="2:13" ht="49.05" customHeight="1" x14ac:dyDescent="0.3">
      <c r="B235" s="270" t="s">
        <v>231</v>
      </c>
      <c r="C235" s="270"/>
      <c r="D235" s="270"/>
      <c r="E235" s="270"/>
      <c r="F235" s="271" t="s">
        <v>232</v>
      </c>
      <c r="G235" s="271"/>
      <c r="H235" s="271"/>
      <c r="I235" s="271"/>
      <c r="J235" s="271"/>
      <c r="K235" s="271"/>
      <c r="L235" s="271"/>
      <c r="M235"/>
    </row>
    <row r="236" spans="2:13" ht="49.05" customHeight="1" x14ac:dyDescent="0.3">
      <c r="B236" s="270" t="s">
        <v>233</v>
      </c>
      <c r="C236" s="270"/>
      <c r="D236" s="270"/>
      <c r="E236" s="270"/>
      <c r="F236" s="271" t="s">
        <v>234</v>
      </c>
      <c r="G236" s="271"/>
      <c r="H236" s="271"/>
      <c r="I236" s="271"/>
      <c r="J236" s="271"/>
      <c r="K236" s="271"/>
      <c r="L236" s="271"/>
      <c r="M236"/>
    </row>
    <row r="237" spans="2:13" ht="79.05" customHeight="1" x14ac:dyDescent="0.3">
      <c r="B237" s="270" t="s">
        <v>235</v>
      </c>
      <c r="C237" s="270"/>
      <c r="D237" s="270"/>
      <c r="E237" s="270"/>
      <c r="F237" s="271" t="s">
        <v>236</v>
      </c>
      <c r="G237" s="271"/>
      <c r="H237" s="271"/>
      <c r="I237" s="271"/>
      <c r="J237" s="271"/>
      <c r="K237" s="271"/>
      <c r="L237" s="271"/>
      <c r="M237"/>
    </row>
    <row r="238" spans="2:13" ht="64.05" customHeight="1" x14ac:dyDescent="0.3">
      <c r="B238" s="270" t="s">
        <v>237</v>
      </c>
      <c r="C238" s="270"/>
      <c r="D238" s="270"/>
      <c r="E238" s="270"/>
      <c r="F238" s="271" t="s">
        <v>238</v>
      </c>
      <c r="G238" s="271"/>
      <c r="H238" s="271"/>
      <c r="I238" s="271"/>
      <c r="J238" s="271"/>
      <c r="K238" s="271"/>
      <c r="L238" s="271"/>
      <c r="M238"/>
    </row>
    <row r="239" spans="2:13" ht="64.05" customHeight="1" x14ac:dyDescent="0.3">
      <c r="B239" s="270" t="s">
        <v>239</v>
      </c>
      <c r="C239" s="270"/>
      <c r="D239" s="270"/>
      <c r="E239" s="270"/>
      <c r="F239" s="271" t="s">
        <v>240</v>
      </c>
      <c r="G239" s="271"/>
      <c r="H239" s="271"/>
      <c r="I239" s="271"/>
      <c r="J239" s="271"/>
      <c r="K239" s="271"/>
      <c r="L239" s="271"/>
      <c r="M239"/>
    </row>
    <row r="240" spans="2:13" ht="34.049999999999997" customHeight="1" x14ac:dyDescent="0.3">
      <c r="B240" s="270" t="s">
        <v>241</v>
      </c>
      <c r="C240" s="270"/>
      <c r="D240" s="270"/>
      <c r="E240" s="270"/>
      <c r="F240" s="271" t="s">
        <v>242</v>
      </c>
      <c r="G240" s="271"/>
      <c r="H240" s="271"/>
      <c r="I240" s="271"/>
      <c r="J240" s="271"/>
      <c r="K240" s="271"/>
      <c r="L240" s="271"/>
      <c r="M240"/>
    </row>
    <row r="241" spans="2:13" ht="64.05" customHeight="1" x14ac:dyDescent="0.3">
      <c r="B241" s="270" t="s">
        <v>243</v>
      </c>
      <c r="C241" s="270"/>
      <c r="D241" s="270"/>
      <c r="E241" s="270"/>
      <c r="F241" s="271" t="s">
        <v>244</v>
      </c>
      <c r="G241" s="271"/>
      <c r="H241" s="271"/>
      <c r="I241" s="271"/>
      <c r="J241" s="271"/>
      <c r="K241" s="271"/>
      <c r="L241" s="271"/>
      <c r="M241"/>
    </row>
    <row r="242" spans="2:13" ht="49.05" customHeight="1" x14ac:dyDescent="0.3">
      <c r="B242" s="270" t="s">
        <v>245</v>
      </c>
      <c r="C242" s="270"/>
      <c r="D242" s="270"/>
      <c r="E242" s="270"/>
      <c r="F242" s="271" t="s">
        <v>246</v>
      </c>
      <c r="G242" s="271"/>
      <c r="H242" s="271"/>
      <c r="I242" s="271"/>
      <c r="J242" s="271"/>
      <c r="K242" s="271"/>
      <c r="L242" s="271"/>
      <c r="M242"/>
    </row>
    <row r="243" spans="2:13" ht="49.05" customHeight="1" x14ac:dyDescent="0.3">
      <c r="B243" s="270" t="s">
        <v>247</v>
      </c>
      <c r="C243" s="270"/>
      <c r="D243" s="270"/>
      <c r="E243" s="270"/>
      <c r="F243" s="271" t="s">
        <v>248</v>
      </c>
      <c r="G243" s="271"/>
      <c r="H243" s="271"/>
      <c r="I243" s="271"/>
      <c r="J243" s="271"/>
      <c r="K243" s="271"/>
      <c r="L243" s="271"/>
      <c r="M243"/>
    </row>
    <row r="244" spans="2:13" ht="49.05" customHeight="1" x14ac:dyDescent="0.3">
      <c r="B244" s="270" t="s">
        <v>249</v>
      </c>
      <c r="C244" s="270"/>
      <c r="D244" s="270"/>
      <c r="E244" s="270"/>
      <c r="F244" s="271" t="s">
        <v>250</v>
      </c>
      <c r="G244" s="271"/>
      <c r="H244" s="271"/>
      <c r="I244" s="271"/>
      <c r="J244" s="271"/>
      <c r="K244" s="271"/>
      <c r="L244" s="271"/>
      <c r="M244"/>
    </row>
    <row r="245" spans="2:13" ht="34.049999999999997" customHeight="1" x14ac:dyDescent="0.3">
      <c r="B245" s="272" t="s">
        <v>251</v>
      </c>
      <c r="C245" s="272"/>
      <c r="D245" s="272"/>
      <c r="E245" s="272"/>
      <c r="F245" s="273" t="s">
        <v>252</v>
      </c>
      <c r="G245" s="273"/>
      <c r="H245" s="273"/>
      <c r="I245" s="273"/>
      <c r="J245" s="273"/>
      <c r="K245" s="273"/>
      <c r="L245" s="273"/>
      <c r="M245"/>
    </row>
    <row r="246" spans="2:13" ht="14.4" x14ac:dyDescent="0.3">
      <c r="B246"/>
      <c r="C246"/>
      <c r="D246"/>
      <c r="E246"/>
      <c r="F246"/>
      <c r="G246"/>
      <c r="H246"/>
      <c r="I246"/>
      <c r="J246"/>
      <c r="K246"/>
      <c r="L246"/>
      <c r="M246"/>
    </row>
    <row r="247" spans="2:13" ht="14.4" x14ac:dyDescent="0.3">
      <c r="B247"/>
      <c r="C247"/>
      <c r="D247"/>
      <c r="E247"/>
      <c r="F247"/>
      <c r="G247"/>
      <c r="H247"/>
      <c r="I247"/>
      <c r="J247"/>
      <c r="K247"/>
      <c r="L247"/>
      <c r="M247"/>
    </row>
    <row r="248" spans="2:13" ht="14.4" x14ac:dyDescent="0.3">
      <c r="B248"/>
      <c r="C248"/>
      <c r="D248"/>
      <c r="E248"/>
      <c r="F248"/>
      <c r="G248"/>
      <c r="H248"/>
      <c r="I248"/>
      <c r="J248"/>
      <c r="K248"/>
      <c r="L248"/>
      <c r="M248"/>
    </row>
    <row r="249" spans="2:13" ht="14.4" x14ac:dyDescent="0.3">
      <c r="B249"/>
      <c r="C249"/>
      <c r="D249"/>
      <c r="E249"/>
      <c r="F249"/>
      <c r="G249"/>
      <c r="H249"/>
      <c r="I249"/>
      <c r="J249"/>
      <c r="K249"/>
      <c r="L249"/>
      <c r="M249"/>
    </row>
    <row r="250" spans="2:13" ht="14.4" x14ac:dyDescent="0.3">
      <c r="B250"/>
      <c r="C250"/>
      <c r="D250"/>
      <c r="E250"/>
      <c r="F250"/>
      <c r="G250"/>
      <c r="H250"/>
      <c r="I250"/>
      <c r="J250"/>
      <c r="K250"/>
      <c r="L250"/>
      <c r="M250"/>
    </row>
    <row r="251" spans="2:13" ht="14.4" x14ac:dyDescent="0.3">
      <c r="B251"/>
      <c r="C251"/>
      <c r="D251"/>
      <c r="E251"/>
      <c r="F251"/>
      <c r="G251"/>
      <c r="H251"/>
      <c r="I251"/>
      <c r="J251"/>
      <c r="K251"/>
      <c r="L251"/>
      <c r="M251"/>
    </row>
    <row r="252" spans="2:13" ht="14.4" x14ac:dyDescent="0.3">
      <c r="B252"/>
      <c r="C252"/>
      <c r="D252"/>
      <c r="E252"/>
      <c r="F252"/>
      <c r="G252"/>
      <c r="H252"/>
      <c r="I252"/>
      <c r="J252"/>
      <c r="K252"/>
      <c r="L252"/>
      <c r="M252"/>
    </row>
    <row r="253" spans="2:13" ht="14.4" x14ac:dyDescent="0.3">
      <c r="B253"/>
      <c r="C253"/>
      <c r="D253"/>
      <c r="E253"/>
      <c r="F253"/>
      <c r="G253"/>
      <c r="H253"/>
      <c r="I253"/>
      <c r="J253"/>
      <c r="K253"/>
      <c r="L253"/>
      <c r="M253"/>
    </row>
    <row r="254" spans="2:13" ht="14.4" x14ac:dyDescent="0.3">
      <c r="B254"/>
      <c r="C254"/>
      <c r="D254"/>
      <c r="E254"/>
      <c r="F254"/>
      <c r="G254"/>
      <c r="H254"/>
      <c r="I254"/>
      <c r="J254"/>
      <c r="K254"/>
      <c r="L254"/>
      <c r="M254"/>
    </row>
    <row r="255" spans="2:13" ht="14.4" x14ac:dyDescent="0.3">
      <c r="B255"/>
      <c r="C255"/>
      <c r="D255"/>
      <c r="E255"/>
      <c r="F255"/>
      <c r="G255"/>
      <c r="H255"/>
      <c r="I255"/>
      <c r="J255"/>
      <c r="K255"/>
      <c r="L255"/>
      <c r="M255"/>
    </row>
    <row r="256" spans="2:13" ht="14.4" x14ac:dyDescent="0.3">
      <c r="B256"/>
      <c r="C256"/>
      <c r="D256"/>
      <c r="E256"/>
      <c r="F256"/>
      <c r="G256"/>
      <c r="H256"/>
      <c r="I256"/>
      <c r="J256"/>
      <c r="K256"/>
      <c r="L256"/>
      <c r="M256"/>
    </row>
    <row r="257" spans="2:13" ht="14.4" x14ac:dyDescent="0.3">
      <c r="B257"/>
      <c r="C257"/>
      <c r="D257"/>
      <c r="E257"/>
      <c r="F257"/>
      <c r="G257"/>
      <c r="H257"/>
      <c r="I257"/>
      <c r="J257"/>
      <c r="K257"/>
      <c r="L257"/>
      <c r="M257"/>
    </row>
    <row r="258" spans="2:13" ht="14.4" x14ac:dyDescent="0.3">
      <c r="B258"/>
      <c r="C258"/>
      <c r="D258"/>
      <c r="E258"/>
      <c r="F258"/>
      <c r="G258"/>
      <c r="H258"/>
      <c r="I258"/>
      <c r="J258"/>
      <c r="K258"/>
      <c r="L258"/>
      <c r="M258"/>
    </row>
    <row r="259" spans="2:13" ht="14.4" x14ac:dyDescent="0.3">
      <c r="B259"/>
      <c r="C259"/>
      <c r="D259"/>
      <c r="E259"/>
      <c r="F259"/>
      <c r="G259"/>
      <c r="H259"/>
      <c r="I259"/>
      <c r="J259"/>
      <c r="K259"/>
      <c r="L259"/>
      <c r="M259"/>
    </row>
  </sheetData>
  <mergeCells count="64">
    <mergeCell ref="B211:E211"/>
    <mergeCell ref="F211:L211"/>
    <mergeCell ref="B212:E212"/>
    <mergeCell ref="F212:L212"/>
    <mergeCell ref="B213:E213"/>
    <mergeCell ref="F213:L213"/>
    <mergeCell ref="B214:E214"/>
    <mergeCell ref="F214:L214"/>
    <mergeCell ref="B215:E215"/>
    <mergeCell ref="F215:L215"/>
    <mergeCell ref="B216:E216"/>
    <mergeCell ref="F216:L216"/>
    <mergeCell ref="B217:E217"/>
    <mergeCell ref="F217:L217"/>
    <mergeCell ref="B218:E218"/>
    <mergeCell ref="F218:L218"/>
    <mergeCell ref="B219:E219"/>
    <mergeCell ref="F219:L219"/>
    <mergeCell ref="B220:E220"/>
    <mergeCell ref="F220:L220"/>
    <mergeCell ref="B221:E221"/>
    <mergeCell ref="F221:L221"/>
    <mergeCell ref="B222:E222"/>
    <mergeCell ref="F222:L222"/>
    <mergeCell ref="B223:E223"/>
    <mergeCell ref="F223:L223"/>
    <mergeCell ref="B224:E224"/>
    <mergeCell ref="F224:L224"/>
    <mergeCell ref="B225:E225"/>
    <mergeCell ref="F225:L225"/>
    <mergeCell ref="B226:E226"/>
    <mergeCell ref="F226:L226"/>
    <mergeCell ref="B227:E227"/>
    <mergeCell ref="F227:L227"/>
    <mergeCell ref="B228:E228"/>
    <mergeCell ref="F228:L228"/>
    <mergeCell ref="B229:E229"/>
    <mergeCell ref="F229:L229"/>
    <mergeCell ref="B230:E230"/>
    <mergeCell ref="F230:L230"/>
    <mergeCell ref="B234:E234"/>
    <mergeCell ref="F234:L234"/>
    <mergeCell ref="B235:E235"/>
    <mergeCell ref="F235:L235"/>
    <mergeCell ref="B236:E236"/>
    <mergeCell ref="F236:L236"/>
    <mergeCell ref="B237:E237"/>
    <mergeCell ref="F237:L237"/>
    <mergeCell ref="B238:E238"/>
    <mergeCell ref="F238:L238"/>
    <mergeCell ref="B239:E239"/>
    <mergeCell ref="F239:L239"/>
    <mergeCell ref="B240:E240"/>
    <mergeCell ref="F240:L240"/>
    <mergeCell ref="B244:E244"/>
    <mergeCell ref="F244:L244"/>
    <mergeCell ref="B245:E245"/>
    <mergeCell ref="F245:L245"/>
    <mergeCell ref="B241:E241"/>
    <mergeCell ref="F241:L241"/>
    <mergeCell ref="B242:E242"/>
    <mergeCell ref="F242:L242"/>
    <mergeCell ref="B243:E243"/>
    <mergeCell ref="F243:L243"/>
  </mergeCells>
  <printOptions horizontalCentered="1"/>
  <pageMargins left="0.7" right="0.7" top="0.75" bottom="0.75" header="0.511811023622047" footer="0.511811023622047"/>
  <pageSetup paperSize="9" scale="54" fitToHeight="0" orientation="landscape" horizontalDpi="300" verticalDpi="300" r:id="rId1"/>
  <headerFooter>
    <oddFooter>&amp;LApple Inc. — DCF Valuation&amp;C&amp;A&amp;RPage 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88F5-BD85-4F3B-BA4E-C3717350ECF6}">
  <sheetPr>
    <tabColor rgb="FF002060"/>
    <pageSetUpPr fitToPage="1"/>
  </sheetPr>
  <dimension ref="A3:M141"/>
  <sheetViews>
    <sheetView showGridLines="0" topLeftCell="A86" workbookViewId="0">
      <selection activeCell="M88" sqref="M88"/>
    </sheetView>
  </sheetViews>
  <sheetFormatPr defaultRowHeight="15.6" x14ac:dyDescent="0.3"/>
  <cols>
    <col min="1" max="5" width="8.88671875" style="41"/>
    <col min="6" max="6" width="9.33203125" style="41" bestFit="1" customWidth="1"/>
    <col min="7" max="7" width="9" style="41" bestFit="1" customWidth="1"/>
    <col min="8" max="12" width="10.33203125" style="41" bestFit="1" customWidth="1"/>
    <col min="13" max="13" width="14.77734375" style="41" bestFit="1" customWidth="1"/>
    <col min="14" max="16384" width="8.88671875" style="41"/>
  </cols>
  <sheetData>
    <row r="3" spans="1:13" ht="20.399999999999999" x14ac:dyDescent="0.35">
      <c r="A3" s="41" t="s">
        <v>111</v>
      </c>
      <c r="B3" s="44" t="s">
        <v>141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2"/>
    </row>
    <row r="4" spans="1:13" x14ac:dyDescent="0.3">
      <c r="B4" s="239" t="s">
        <v>332</v>
      </c>
      <c r="H4" s="1"/>
      <c r="I4" s="1"/>
      <c r="J4" s="1"/>
      <c r="K4" s="1"/>
      <c r="L4" s="1"/>
    </row>
    <row r="5" spans="1:13" x14ac:dyDescent="0.3">
      <c r="H5" s="8" t="s">
        <v>13</v>
      </c>
      <c r="I5" s="8" t="s">
        <v>14</v>
      </c>
      <c r="J5" s="8" t="s">
        <v>15</v>
      </c>
      <c r="K5" s="8" t="s">
        <v>16</v>
      </c>
      <c r="L5" s="8" t="s">
        <v>17</v>
      </c>
    </row>
    <row r="8" spans="1:13" x14ac:dyDescent="0.3">
      <c r="B8" s="73" t="s">
        <v>142</v>
      </c>
      <c r="C8" s="47"/>
      <c r="D8" s="47"/>
      <c r="H8" s="76" t="s">
        <v>145</v>
      </c>
      <c r="I8" s="74"/>
      <c r="J8" s="74"/>
      <c r="K8" s="74"/>
      <c r="L8" s="74"/>
    </row>
    <row r="10" spans="1:13" x14ac:dyDescent="0.3">
      <c r="B10" s="78" t="s">
        <v>143</v>
      </c>
      <c r="C10" s="79"/>
      <c r="D10" s="79"/>
      <c r="E10" s="79"/>
      <c r="F10" s="80">
        <f>F11/8000</f>
        <v>6.2292500000000004</v>
      </c>
      <c r="H10" s="75" t="s">
        <v>146</v>
      </c>
      <c r="I10" s="75" t="s">
        <v>147</v>
      </c>
      <c r="J10" s="75" t="s">
        <v>148</v>
      </c>
      <c r="K10" s="75" t="s">
        <v>149</v>
      </c>
      <c r="L10" s="75" t="s">
        <v>150</v>
      </c>
    </row>
    <row r="11" spans="1:13" x14ac:dyDescent="0.3">
      <c r="B11" s="81" t="s">
        <v>144</v>
      </c>
      <c r="C11" s="82"/>
      <c r="D11" s="82"/>
      <c r="E11" s="82"/>
      <c r="F11" s="83">
        <f>'Financial Statements'!P157</f>
        <v>49834</v>
      </c>
      <c r="H11" s="85">
        <v>1</v>
      </c>
      <c r="I11" s="86">
        <v>1</v>
      </c>
      <c r="J11" s="86">
        <v>1</v>
      </c>
      <c r="K11" s="86">
        <v>1</v>
      </c>
      <c r="L11" s="87">
        <v>1</v>
      </c>
    </row>
    <row r="14" spans="1:13" x14ac:dyDescent="0.3">
      <c r="B14" s="73" t="s">
        <v>151</v>
      </c>
      <c r="C14" s="47"/>
      <c r="D14" s="47"/>
      <c r="H14" s="76" t="s">
        <v>145</v>
      </c>
      <c r="I14" s="74"/>
      <c r="J14" s="74"/>
      <c r="K14" s="74"/>
      <c r="L14" s="74"/>
    </row>
    <row r="16" spans="1:13" x14ac:dyDescent="0.3">
      <c r="B16" s="78" t="s">
        <v>152</v>
      </c>
      <c r="C16" s="79"/>
      <c r="D16" s="79"/>
      <c r="E16" s="79"/>
      <c r="F16" s="80">
        <v>10</v>
      </c>
      <c r="H16" s="75" t="s">
        <v>146</v>
      </c>
      <c r="I16" s="75" t="s">
        <v>147</v>
      </c>
      <c r="J16" s="75" t="s">
        <v>148</v>
      </c>
      <c r="K16" s="75" t="s">
        <v>149</v>
      </c>
      <c r="L16" s="75" t="s">
        <v>150</v>
      </c>
    </row>
    <row r="17" spans="2:12" x14ac:dyDescent="0.3">
      <c r="B17" s="81" t="s">
        <v>153</v>
      </c>
      <c r="C17" s="82"/>
      <c r="D17" s="82"/>
      <c r="E17" s="82"/>
      <c r="F17" s="84">
        <v>0.5</v>
      </c>
      <c r="H17" s="85">
        <f>F17</f>
        <v>0.5</v>
      </c>
      <c r="I17" s="86">
        <v>1</v>
      </c>
      <c r="J17" s="86">
        <v>1</v>
      </c>
      <c r="K17" s="86">
        <v>1</v>
      </c>
      <c r="L17" s="87">
        <v>1</v>
      </c>
    </row>
    <row r="20" spans="2:12" x14ac:dyDescent="0.3">
      <c r="H20" s="76" t="s">
        <v>145</v>
      </c>
      <c r="I20" s="74"/>
      <c r="J20" s="74"/>
      <c r="K20" s="74"/>
      <c r="L20" s="74"/>
    </row>
    <row r="21" spans="2:12" x14ac:dyDescent="0.3">
      <c r="D21" s="91" t="s">
        <v>154</v>
      </c>
      <c r="E21" s="91" t="s">
        <v>155</v>
      </c>
      <c r="F21" s="47"/>
      <c r="G21" s="47"/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</row>
    <row r="22" spans="2:12" x14ac:dyDescent="0.3">
      <c r="D22" s="75" t="s">
        <v>13</v>
      </c>
      <c r="E22" s="88">
        <v>10</v>
      </c>
      <c r="H22" s="89">
        <f>H17</f>
        <v>0.5</v>
      </c>
      <c r="I22" s="89">
        <f t="shared" ref="I22:L22" si="0">I17</f>
        <v>1</v>
      </c>
      <c r="J22" s="89">
        <f t="shared" si="0"/>
        <v>1</v>
      </c>
      <c r="K22" s="89">
        <f t="shared" si="0"/>
        <v>1</v>
      </c>
      <c r="L22" s="89">
        <f t="shared" si="0"/>
        <v>1</v>
      </c>
    </row>
    <row r="23" spans="2:12" x14ac:dyDescent="0.3">
      <c r="D23" s="75" t="s">
        <v>14</v>
      </c>
      <c r="E23" s="88">
        <v>10</v>
      </c>
      <c r="H23" s="90">
        <f>G22</f>
        <v>0</v>
      </c>
      <c r="I23" s="52">
        <f t="shared" ref="I23:L26" si="1">H22</f>
        <v>0.5</v>
      </c>
      <c r="J23" s="52">
        <f t="shared" si="1"/>
        <v>1</v>
      </c>
      <c r="K23" s="52">
        <f t="shared" si="1"/>
        <v>1</v>
      </c>
      <c r="L23" s="52">
        <f t="shared" si="1"/>
        <v>1</v>
      </c>
    </row>
    <row r="24" spans="2:12" x14ac:dyDescent="0.3">
      <c r="D24" s="75" t="s">
        <v>15</v>
      </c>
      <c r="E24" s="88">
        <v>10</v>
      </c>
      <c r="H24" s="90">
        <f t="shared" ref="H24:H26" si="2">G23</f>
        <v>0</v>
      </c>
      <c r="I24" s="90">
        <f t="shared" si="1"/>
        <v>0</v>
      </c>
      <c r="J24" s="52">
        <f t="shared" si="1"/>
        <v>0.5</v>
      </c>
      <c r="K24" s="52">
        <f t="shared" si="1"/>
        <v>1</v>
      </c>
      <c r="L24" s="52">
        <f t="shared" si="1"/>
        <v>1</v>
      </c>
    </row>
    <row r="25" spans="2:12" x14ac:dyDescent="0.3">
      <c r="D25" s="75" t="s">
        <v>16</v>
      </c>
      <c r="E25" s="88">
        <v>10</v>
      </c>
      <c r="H25" s="90">
        <f t="shared" si="2"/>
        <v>0</v>
      </c>
      <c r="I25" s="90">
        <f t="shared" si="1"/>
        <v>0</v>
      </c>
      <c r="J25" s="90">
        <f t="shared" si="1"/>
        <v>0</v>
      </c>
      <c r="K25" s="52">
        <f t="shared" si="1"/>
        <v>0.5</v>
      </c>
      <c r="L25" s="52">
        <f t="shared" si="1"/>
        <v>1</v>
      </c>
    </row>
    <row r="26" spans="2:12" x14ac:dyDescent="0.3">
      <c r="D26" s="91" t="s">
        <v>17</v>
      </c>
      <c r="E26" s="96">
        <v>10</v>
      </c>
      <c r="F26" s="47"/>
      <c r="G26" s="47"/>
      <c r="H26" s="97">
        <f t="shared" si="2"/>
        <v>0</v>
      </c>
      <c r="I26" s="97">
        <f t="shared" si="1"/>
        <v>0</v>
      </c>
      <c r="J26" s="97">
        <f t="shared" si="1"/>
        <v>0</v>
      </c>
      <c r="K26" s="97">
        <f t="shared" si="1"/>
        <v>0</v>
      </c>
      <c r="L26" s="98">
        <f t="shared" si="1"/>
        <v>0.5</v>
      </c>
    </row>
    <row r="29" spans="2:12" x14ac:dyDescent="0.3">
      <c r="H29" s="76" t="s">
        <v>159</v>
      </c>
      <c r="I29" s="74"/>
      <c r="J29" s="74"/>
      <c r="K29" s="74"/>
      <c r="L29" s="74"/>
    </row>
    <row r="30" spans="2:12" x14ac:dyDescent="0.3">
      <c r="D30" s="91" t="s">
        <v>154</v>
      </c>
      <c r="E30" s="91" t="s">
        <v>118</v>
      </c>
      <c r="F30" s="73" t="s">
        <v>158</v>
      </c>
      <c r="G30" s="47"/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</row>
    <row r="31" spans="2:12" x14ac:dyDescent="0.3">
      <c r="D31" s="75" t="s">
        <v>13</v>
      </c>
      <c r="E31" s="92" cm="1">
        <f t="array" ref="E31:E35">-TRANSPOSE('Financial Statements'!Q105:U105)</f>
        <v>13109.0715</v>
      </c>
      <c r="F31" s="92">
        <f>E31/E22</f>
        <v>1310.90715</v>
      </c>
      <c r="H31" s="77">
        <f t="shared" ref="H31:L35" si="3">$F31*H22</f>
        <v>655.453575</v>
      </c>
      <c r="I31" s="77">
        <f t="shared" si="3"/>
        <v>1310.90715</v>
      </c>
      <c r="J31" s="77">
        <f t="shared" si="3"/>
        <v>1310.90715</v>
      </c>
      <c r="K31" s="77">
        <f t="shared" si="3"/>
        <v>1310.90715</v>
      </c>
      <c r="L31" s="77">
        <f t="shared" si="3"/>
        <v>1310.90715</v>
      </c>
    </row>
    <row r="32" spans="2:12" x14ac:dyDescent="0.3">
      <c r="D32" s="75" t="s">
        <v>14</v>
      </c>
      <c r="E32" s="92">
        <v>13600.661681250001</v>
      </c>
      <c r="F32" s="92">
        <f t="shared" ref="F32:F35" si="4">E32/E23</f>
        <v>1360.0661681250001</v>
      </c>
      <c r="H32" s="90">
        <f t="shared" si="3"/>
        <v>0</v>
      </c>
      <c r="I32" s="90">
        <f t="shared" si="3"/>
        <v>680.03308406250005</v>
      </c>
      <c r="J32" s="90">
        <f t="shared" si="3"/>
        <v>1360.0661681250001</v>
      </c>
      <c r="K32" s="90">
        <f t="shared" si="3"/>
        <v>1360.0661681250001</v>
      </c>
      <c r="L32" s="90">
        <f t="shared" si="3"/>
        <v>1360.0661681250001</v>
      </c>
    </row>
    <row r="33" spans="2:12" x14ac:dyDescent="0.3">
      <c r="D33" s="75" t="s">
        <v>15</v>
      </c>
      <c r="E33" s="92">
        <v>14110.686494296877</v>
      </c>
      <c r="F33" s="92">
        <f t="shared" si="4"/>
        <v>1411.0686494296876</v>
      </c>
      <c r="H33" s="90">
        <f t="shared" si="3"/>
        <v>0</v>
      </c>
      <c r="I33" s="90">
        <f t="shared" si="3"/>
        <v>0</v>
      </c>
      <c r="J33" s="90">
        <f t="shared" si="3"/>
        <v>705.53432471484382</v>
      </c>
      <c r="K33" s="90">
        <f t="shared" si="3"/>
        <v>1411.0686494296876</v>
      </c>
      <c r="L33" s="90">
        <f t="shared" si="3"/>
        <v>1411.0686494296876</v>
      </c>
    </row>
    <row r="34" spans="2:12" x14ac:dyDescent="0.3">
      <c r="D34" s="75" t="s">
        <v>16</v>
      </c>
      <c r="E34" s="92">
        <v>14534.007089125784</v>
      </c>
      <c r="F34" s="92">
        <f t="shared" si="4"/>
        <v>1453.4007089125785</v>
      </c>
      <c r="H34" s="90">
        <f t="shared" si="3"/>
        <v>0</v>
      </c>
      <c r="I34" s="90">
        <f t="shared" si="3"/>
        <v>0</v>
      </c>
      <c r="J34" s="90">
        <f t="shared" si="3"/>
        <v>0</v>
      </c>
      <c r="K34" s="90">
        <f t="shared" si="3"/>
        <v>726.70035445628923</v>
      </c>
      <c r="L34" s="90">
        <f t="shared" si="3"/>
        <v>1453.4007089125785</v>
      </c>
    </row>
    <row r="35" spans="2:12" x14ac:dyDescent="0.3">
      <c r="D35" s="91" t="s">
        <v>17</v>
      </c>
      <c r="E35" s="99">
        <v>15188.037408136444</v>
      </c>
      <c r="F35" s="99">
        <f t="shared" si="4"/>
        <v>1518.8037408136445</v>
      </c>
      <c r="G35" s="47"/>
      <c r="H35" s="97">
        <f t="shared" si="3"/>
        <v>0</v>
      </c>
      <c r="I35" s="97">
        <f t="shared" si="3"/>
        <v>0</v>
      </c>
      <c r="J35" s="97">
        <f t="shared" si="3"/>
        <v>0</v>
      </c>
      <c r="K35" s="97">
        <f t="shared" si="3"/>
        <v>0</v>
      </c>
      <c r="L35" s="97">
        <f t="shared" si="3"/>
        <v>759.40187040682224</v>
      </c>
    </row>
    <row r="38" spans="2:12" x14ac:dyDescent="0.3">
      <c r="B38" s="76" t="s">
        <v>160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</row>
    <row r="39" spans="2:12" x14ac:dyDescent="0.3">
      <c r="B39" s="50"/>
    </row>
    <row r="40" spans="2:12" x14ac:dyDescent="0.3">
      <c r="B40" s="41" t="s">
        <v>161</v>
      </c>
      <c r="H40" s="92">
        <f>$F$11/$F$10*H11</f>
        <v>7999.9999999999991</v>
      </c>
      <c r="I40" s="92">
        <f t="shared" ref="I40:L40" si="5">$F$11/$F$10*I11</f>
        <v>7999.9999999999991</v>
      </c>
      <c r="J40" s="92">
        <f t="shared" si="5"/>
        <v>7999.9999999999991</v>
      </c>
      <c r="K40" s="92">
        <f t="shared" si="5"/>
        <v>7999.9999999999991</v>
      </c>
      <c r="L40" s="92">
        <f t="shared" si="5"/>
        <v>7999.9999999999991</v>
      </c>
    </row>
    <row r="41" spans="2:12" x14ac:dyDescent="0.3">
      <c r="B41" s="41" t="s">
        <v>162</v>
      </c>
      <c r="H41" s="92">
        <f>SUM(H31:H35)</f>
        <v>655.453575</v>
      </c>
      <c r="I41" s="92">
        <f t="shared" ref="I41:L41" si="6">SUM(I31:I35)</f>
        <v>1990.9402340625002</v>
      </c>
      <c r="J41" s="92">
        <f t="shared" si="6"/>
        <v>3376.5076428398443</v>
      </c>
      <c r="K41" s="92">
        <f t="shared" si="6"/>
        <v>4808.7423220109777</v>
      </c>
      <c r="L41" s="92">
        <f t="shared" si="6"/>
        <v>6294.8445468740883</v>
      </c>
    </row>
    <row r="42" spans="2:12" ht="16.2" thickBot="1" x14ac:dyDescent="0.35">
      <c r="B42" s="41" t="s">
        <v>163</v>
      </c>
      <c r="H42" s="100">
        <f>SUM(H40:H41)</f>
        <v>8655.4535749999995</v>
      </c>
      <c r="I42" s="100">
        <f t="shared" ref="I42:L42" si="7">SUM(I40:I41)</f>
        <v>9990.9402340624983</v>
      </c>
      <c r="J42" s="100">
        <f t="shared" si="7"/>
        <v>11376.507642839842</v>
      </c>
      <c r="K42" s="100">
        <f t="shared" si="7"/>
        <v>12808.742322010978</v>
      </c>
      <c r="L42" s="100">
        <f t="shared" si="7"/>
        <v>14294.844546874087</v>
      </c>
    </row>
    <row r="43" spans="2:12" ht="16.2" thickTop="1" x14ac:dyDescent="0.3"/>
    <row r="45" spans="2:12" x14ac:dyDescent="0.3">
      <c r="B45" s="73" t="s">
        <v>164</v>
      </c>
      <c r="C45" s="47"/>
    </row>
    <row r="46" spans="2:12" x14ac:dyDescent="0.3">
      <c r="G46" s="73" t="s">
        <v>12</v>
      </c>
    </row>
    <row r="47" spans="2:12" x14ac:dyDescent="0.3">
      <c r="B47" s="41" t="s">
        <v>165</v>
      </c>
      <c r="G47" s="77">
        <f>'Financial Statements'!P31</f>
        <v>11698</v>
      </c>
    </row>
    <row r="48" spans="2:12" x14ac:dyDescent="0.3">
      <c r="B48" s="41" t="s">
        <v>166</v>
      </c>
      <c r="G48" s="101">
        <v>8000</v>
      </c>
    </row>
    <row r="49" spans="1:13" ht="16.2" thickBot="1" x14ac:dyDescent="0.35">
      <c r="B49" s="41" t="s">
        <v>167</v>
      </c>
      <c r="G49" s="102">
        <f>G47-G48</f>
        <v>3698</v>
      </c>
    </row>
    <row r="50" spans="1:13" ht="16.2" thickTop="1" x14ac:dyDescent="0.3"/>
    <row r="52" spans="1:13" x14ac:dyDescent="0.3">
      <c r="B52" s="76" t="s">
        <v>168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</row>
    <row r="54" spans="1:13" x14ac:dyDescent="0.3">
      <c r="B54" s="41" t="s">
        <v>163</v>
      </c>
      <c r="H54" s="77">
        <f>H42</f>
        <v>8655.4535749999995</v>
      </c>
      <c r="I54" s="77">
        <f t="shared" ref="I54:L54" si="8">I42</f>
        <v>9990.9402340624983</v>
      </c>
      <c r="J54" s="77">
        <f t="shared" si="8"/>
        <v>11376.507642839842</v>
      </c>
      <c r="K54" s="77">
        <f t="shared" si="8"/>
        <v>12808.742322010978</v>
      </c>
      <c r="L54" s="77">
        <f t="shared" si="8"/>
        <v>14294.844546874087</v>
      </c>
    </row>
    <row r="55" spans="1:13" x14ac:dyDescent="0.3">
      <c r="B55" s="41" t="s">
        <v>169</v>
      </c>
      <c r="H55" s="77">
        <f>$G$49</f>
        <v>3698</v>
      </c>
      <c r="I55" s="77">
        <f t="shared" ref="I55:L55" si="9">$G$49</f>
        <v>3698</v>
      </c>
      <c r="J55" s="77">
        <f t="shared" si="9"/>
        <v>3698</v>
      </c>
      <c r="K55" s="77">
        <f t="shared" si="9"/>
        <v>3698</v>
      </c>
      <c r="L55" s="77">
        <f t="shared" si="9"/>
        <v>3698</v>
      </c>
    </row>
    <row r="56" spans="1:13" ht="16.2" thickBot="1" x14ac:dyDescent="0.35">
      <c r="B56" s="50" t="s">
        <v>168</v>
      </c>
      <c r="H56" s="102">
        <f>SUM(H54:H55)</f>
        <v>12353.453575</v>
      </c>
      <c r="I56" s="102">
        <f t="shared" ref="I56:L56" si="10">SUM(I54:I55)</f>
        <v>13688.940234062498</v>
      </c>
      <c r="J56" s="102">
        <f t="shared" si="10"/>
        <v>15074.507642839842</v>
      </c>
      <c r="K56" s="102">
        <f t="shared" si="10"/>
        <v>16506.742322010978</v>
      </c>
      <c r="L56" s="102">
        <f t="shared" si="10"/>
        <v>17992.844546874087</v>
      </c>
    </row>
    <row r="57" spans="1:13" ht="16.2" thickTop="1" x14ac:dyDescent="0.3"/>
    <row r="59" spans="1:13" ht="20.399999999999999" x14ac:dyDescent="0.35">
      <c r="A59" s="41" t="s">
        <v>111</v>
      </c>
      <c r="B59" s="44" t="s">
        <v>171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2"/>
    </row>
    <row r="60" spans="1:13" x14ac:dyDescent="0.3">
      <c r="B60" s="239" t="s">
        <v>332</v>
      </c>
      <c r="M60" s="48"/>
    </row>
    <row r="61" spans="1:13" x14ac:dyDescent="0.3">
      <c r="B61" s="73" t="s">
        <v>2</v>
      </c>
      <c r="C61" s="47"/>
      <c r="D61" s="47"/>
      <c r="E61" s="47"/>
      <c r="F61" s="47"/>
      <c r="G61" s="22" t="s">
        <v>12</v>
      </c>
      <c r="H61" s="22" t="s">
        <v>13</v>
      </c>
      <c r="I61" s="22" t="s">
        <v>14</v>
      </c>
      <c r="J61" s="22" t="s">
        <v>15</v>
      </c>
      <c r="K61" s="22" t="s">
        <v>16</v>
      </c>
      <c r="L61" s="22" t="s">
        <v>17</v>
      </c>
      <c r="M61" s="23" t="s">
        <v>18</v>
      </c>
    </row>
    <row r="62" spans="1:13" x14ac:dyDescent="0.3">
      <c r="M62" s="48"/>
    </row>
    <row r="63" spans="1:13" x14ac:dyDescent="0.3">
      <c r="B63" s="50" t="s">
        <v>80</v>
      </c>
      <c r="M63" s="48"/>
    </row>
    <row r="64" spans="1:13" x14ac:dyDescent="0.3">
      <c r="M64" s="48"/>
    </row>
    <row r="65" spans="2:13" x14ac:dyDescent="0.3">
      <c r="B65" s="41" t="s">
        <v>172</v>
      </c>
      <c r="G65" s="77">
        <f>'Financial Statements'!P147</f>
        <v>39777</v>
      </c>
      <c r="H65" s="77">
        <f>H66*'Financial Statements'!Q7/360</f>
        <v>41167.687500000007</v>
      </c>
      <c r="I65" s="77">
        <f>I66*'Financial Statements'!R7/360</f>
        <v>42711.475781250003</v>
      </c>
      <c r="J65" s="77">
        <f>J66*'Financial Statements'!S7/360</f>
        <v>44313.156123046887</v>
      </c>
      <c r="K65" s="77">
        <f>K66*'Financial Statements'!T7/360</f>
        <v>45642.550806738291</v>
      </c>
      <c r="L65" s="77">
        <f>L66*'Financial Statements'!U7/360</f>
        <v>47696.46559304151</v>
      </c>
      <c r="M65" s="107">
        <f>M66*'Financial Statements'!V7/360</f>
        <v>48888.87723286754</v>
      </c>
    </row>
    <row r="66" spans="2:13" x14ac:dyDescent="0.3">
      <c r="B66" s="36" t="s">
        <v>173</v>
      </c>
      <c r="G66" s="105">
        <f>AVERAGE('Financial Statements'!P147,'Financial Statements'!O147)/'Financial Statements'!P7*360</f>
        <v>31.655200751632183</v>
      </c>
      <c r="H66" s="105">
        <f t="shared" ref="H66:M66" si="11">G66</f>
        <v>31.655200751632183</v>
      </c>
      <c r="I66" s="105">
        <f t="shared" si="11"/>
        <v>31.655200751632183</v>
      </c>
      <c r="J66" s="105">
        <f t="shared" si="11"/>
        <v>31.655200751632183</v>
      </c>
      <c r="K66" s="105">
        <f t="shared" si="11"/>
        <v>31.655200751632183</v>
      </c>
      <c r="L66" s="105">
        <f t="shared" si="11"/>
        <v>31.655200751632183</v>
      </c>
      <c r="M66" s="106">
        <f t="shared" si="11"/>
        <v>31.655200751632183</v>
      </c>
    </row>
    <row r="67" spans="2:13" x14ac:dyDescent="0.3">
      <c r="M67" s="48"/>
    </row>
    <row r="68" spans="2:13" x14ac:dyDescent="0.3">
      <c r="B68" s="41" t="s">
        <v>83</v>
      </c>
      <c r="G68" s="77">
        <f>'Financial Statements'!P149</f>
        <v>5718</v>
      </c>
      <c r="H68" s="77">
        <f>H69*'Financial Statements'!Q9/360</f>
        <v>7163.9170477461985</v>
      </c>
      <c r="I68" s="77">
        <f>I69*'Financial Statements'!R9/360</f>
        <v>7432.5639370366816</v>
      </c>
      <c r="J68" s="77">
        <f>J69*'Financial Statements'!S9/360</f>
        <v>7711.2850846755573</v>
      </c>
      <c r="K68" s="77">
        <f>K69*'Financial Statements'!T9/360</f>
        <v>7942.6236372158255</v>
      </c>
      <c r="L68" s="77">
        <f>L69*'Financial Statements'!U9/360</f>
        <v>8300.041700890537</v>
      </c>
      <c r="M68" s="107">
        <f>M69*'Financial Statements'!V9/360</f>
        <v>8507.5427434127996</v>
      </c>
    </row>
    <row r="69" spans="2:13" x14ac:dyDescent="0.3">
      <c r="B69" s="36" t="s">
        <v>174</v>
      </c>
      <c r="G69" s="105">
        <f>AVERAGE('Financial Statements'!O149,'Financial Statements'!P149)/'Financial Statements'!P9*360</f>
        <v>10.59341057204924</v>
      </c>
      <c r="H69" s="105">
        <f t="shared" ref="H69:M69" si="12">G69</f>
        <v>10.59341057204924</v>
      </c>
      <c r="I69" s="105">
        <f t="shared" si="12"/>
        <v>10.59341057204924</v>
      </c>
      <c r="J69" s="105">
        <f t="shared" si="12"/>
        <v>10.59341057204924</v>
      </c>
      <c r="K69" s="105">
        <f t="shared" si="12"/>
        <v>10.59341057204924</v>
      </c>
      <c r="L69" s="105">
        <f t="shared" si="12"/>
        <v>10.59341057204924</v>
      </c>
      <c r="M69" s="106">
        <f t="shared" si="12"/>
        <v>10.59341057204924</v>
      </c>
    </row>
    <row r="70" spans="2:13" x14ac:dyDescent="0.3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9"/>
    </row>
    <row r="71" spans="2:13" x14ac:dyDescent="0.3">
      <c r="B71" s="50" t="s">
        <v>85</v>
      </c>
      <c r="G71" s="77">
        <f t="shared" ref="G71:M71" si="13">SUM(G65,G68)</f>
        <v>45495</v>
      </c>
      <c r="H71" s="77">
        <f t="shared" si="13"/>
        <v>48331.604547746203</v>
      </c>
      <c r="I71" s="77">
        <f t="shared" si="13"/>
        <v>50144.039718286687</v>
      </c>
      <c r="J71" s="77">
        <f t="shared" si="13"/>
        <v>52024.441207722441</v>
      </c>
      <c r="K71" s="77">
        <f t="shared" si="13"/>
        <v>53585.174443954114</v>
      </c>
      <c r="L71" s="77">
        <f t="shared" si="13"/>
        <v>55996.507293932045</v>
      </c>
      <c r="M71" s="107">
        <f t="shared" si="13"/>
        <v>57396.41997628034</v>
      </c>
    </row>
    <row r="72" spans="2:13" x14ac:dyDescent="0.3">
      <c r="M72" s="48"/>
    </row>
    <row r="73" spans="2:13" x14ac:dyDescent="0.3">
      <c r="B73" s="50" t="s">
        <v>92</v>
      </c>
      <c r="M73" s="48"/>
    </row>
    <row r="74" spans="2:13" x14ac:dyDescent="0.3">
      <c r="M74" s="48"/>
    </row>
    <row r="75" spans="2:13" x14ac:dyDescent="0.3">
      <c r="B75" s="41" t="s">
        <v>93</v>
      </c>
      <c r="G75" s="77">
        <f>'Financial Statements'!P169</f>
        <v>69860</v>
      </c>
      <c r="H75" s="77">
        <f>H76*'Financial Statements'!Q9/360</f>
        <v>76476.081557069148</v>
      </c>
      <c r="I75" s="77">
        <f>I76*'Financial Statements'!R9/360</f>
        <v>79343.934615459249</v>
      </c>
      <c r="J75" s="77">
        <f>J76*'Financial Statements'!S9/360</f>
        <v>82319.332163538988</v>
      </c>
      <c r="K75" s="77">
        <f>K76*'Financial Statements'!T9/360</f>
        <v>84788.912128445154</v>
      </c>
      <c r="L75" s="77">
        <f>L76*'Financial Statements'!U9/360</f>
        <v>88604.413174225177</v>
      </c>
      <c r="M75" s="107">
        <f>M76*'Financial Statements'!V9/360</f>
        <v>90819.5235035808</v>
      </c>
    </row>
    <row r="76" spans="2:13" x14ac:dyDescent="0.3">
      <c r="B76" s="36" t="s">
        <v>175</v>
      </c>
      <c r="G76" s="105">
        <f>AVERAGE('Financial Statements'!O169,'Financial Statements'!P169)/'Financial Statements'!P9*360</f>
        <v>113.08653149891383</v>
      </c>
      <c r="H76" s="105">
        <f t="shared" ref="H76:M76" si="14">G76</f>
        <v>113.08653149891383</v>
      </c>
      <c r="I76" s="105">
        <f t="shared" si="14"/>
        <v>113.08653149891383</v>
      </c>
      <c r="J76" s="105">
        <f t="shared" si="14"/>
        <v>113.08653149891383</v>
      </c>
      <c r="K76" s="105">
        <f t="shared" si="14"/>
        <v>113.08653149891383</v>
      </c>
      <c r="L76" s="105">
        <f t="shared" si="14"/>
        <v>113.08653149891383</v>
      </c>
      <c r="M76" s="106">
        <f t="shared" si="14"/>
        <v>113.08653149891383</v>
      </c>
    </row>
    <row r="77" spans="2:13" x14ac:dyDescent="0.3">
      <c r="M77" s="48"/>
    </row>
    <row r="78" spans="2:13" x14ac:dyDescent="0.3">
      <c r="B78" s="41" t="s">
        <v>94</v>
      </c>
      <c r="G78" s="77">
        <f>'Financial Statements'!P171</f>
        <v>66387</v>
      </c>
      <c r="H78" s="77">
        <f>H79*'Financial Statements'!Q23/360</f>
        <v>84471.265541931134</v>
      </c>
      <c r="I78" s="77">
        <f>I79*'Financial Statements'!R23/360</f>
        <v>87638.937999753543</v>
      </c>
      <c r="J78" s="77">
        <f>J79*'Financial Statements'!S23/360</f>
        <v>90925.398174744318</v>
      </c>
      <c r="K78" s="77">
        <f>K79*'Financial Statements'!T23/360</f>
        <v>93653.160119986656</v>
      </c>
      <c r="L78" s="77">
        <f>L79*'Financial Statements'!U23/360</f>
        <v>97867.55232538603</v>
      </c>
      <c r="M78" s="107">
        <f>M79*'Financial Statements'!V23/360</f>
        <v>100314.24113352067</v>
      </c>
    </row>
    <row r="79" spans="2:13" x14ac:dyDescent="0.3">
      <c r="B79" s="36" t="s">
        <v>175</v>
      </c>
      <c r="G79" s="105">
        <f>AVERAGE('Financial Statements'!O171,'Financial Statements'!P171)/'Financial Statements'!P23*360</f>
        <v>419.05005550996759</v>
      </c>
      <c r="H79" s="105">
        <f t="shared" ref="H79:M79" si="15">G79</f>
        <v>419.05005550996759</v>
      </c>
      <c r="I79" s="105">
        <f t="shared" si="15"/>
        <v>419.05005550996759</v>
      </c>
      <c r="J79" s="105">
        <f t="shared" si="15"/>
        <v>419.05005550996759</v>
      </c>
      <c r="K79" s="105">
        <f t="shared" si="15"/>
        <v>419.05005550996759</v>
      </c>
      <c r="L79" s="105">
        <f t="shared" si="15"/>
        <v>419.05005550996759</v>
      </c>
      <c r="M79" s="106">
        <f t="shared" si="15"/>
        <v>419.05005550996759</v>
      </c>
    </row>
    <row r="80" spans="2:13" x14ac:dyDescent="0.3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9"/>
    </row>
    <row r="81" spans="1:13" x14ac:dyDescent="0.3">
      <c r="B81" s="50" t="s">
        <v>98</v>
      </c>
      <c r="G81" s="77">
        <f t="shared" ref="G81:M81" si="16">SUM(G75,G78)</f>
        <v>136247</v>
      </c>
      <c r="H81" s="77">
        <f t="shared" si="16"/>
        <v>160947.3470990003</v>
      </c>
      <c r="I81" s="77">
        <f t="shared" si="16"/>
        <v>166982.87261521281</v>
      </c>
      <c r="J81" s="77">
        <f t="shared" si="16"/>
        <v>173244.73033828329</v>
      </c>
      <c r="K81" s="77">
        <f t="shared" si="16"/>
        <v>178442.0722484318</v>
      </c>
      <c r="L81" s="77">
        <f t="shared" si="16"/>
        <v>186471.96549961122</v>
      </c>
      <c r="M81" s="107">
        <f t="shared" si="16"/>
        <v>191133.76463710147</v>
      </c>
    </row>
    <row r="82" spans="1:13" x14ac:dyDescent="0.3">
      <c r="M82" s="48"/>
    </row>
    <row r="83" spans="1:13" ht="16.2" thickBot="1" x14ac:dyDescent="0.35">
      <c r="B83" s="103" t="s">
        <v>176</v>
      </c>
      <c r="C83" s="104"/>
      <c r="D83" s="104"/>
      <c r="E83" s="104"/>
      <c r="F83" s="104"/>
      <c r="G83" s="102">
        <f t="shared" ref="G83:M83" si="17">G71-G81</f>
        <v>-90752</v>
      </c>
      <c r="H83" s="102">
        <f t="shared" si="17"/>
        <v>-112615.74255125409</v>
      </c>
      <c r="I83" s="102">
        <f t="shared" si="17"/>
        <v>-116838.83289692612</v>
      </c>
      <c r="J83" s="102">
        <f t="shared" si="17"/>
        <v>-121220.28913056085</v>
      </c>
      <c r="K83" s="102">
        <f t="shared" si="17"/>
        <v>-124856.89780447769</v>
      </c>
      <c r="L83" s="102">
        <f t="shared" si="17"/>
        <v>-130475.45820567917</v>
      </c>
      <c r="M83" s="108">
        <f t="shared" si="17"/>
        <v>-133737.34466082114</v>
      </c>
    </row>
    <row r="84" spans="1:13" ht="16.2" thickTop="1" x14ac:dyDescent="0.3"/>
    <row r="86" spans="1:13" ht="20.399999999999999" x14ac:dyDescent="0.35">
      <c r="A86" s="41" t="s">
        <v>111</v>
      </c>
      <c r="B86" s="44" t="s">
        <v>177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2"/>
    </row>
    <row r="87" spans="1:13" x14ac:dyDescent="0.3">
      <c r="B87" s="239" t="s">
        <v>332</v>
      </c>
    </row>
    <row r="88" spans="1:13" x14ac:dyDescent="0.3">
      <c r="B88" s="78" t="s">
        <v>178</v>
      </c>
      <c r="C88" s="79"/>
      <c r="D88" s="79"/>
      <c r="E88" s="79"/>
      <c r="F88" s="110">
        <v>0.5</v>
      </c>
      <c r="K88" s="113" t="s">
        <v>193</v>
      </c>
      <c r="L88" s="114"/>
      <c r="M88" s="115">
        <f>'Key Drivers'!L31</f>
        <v>0.17</v>
      </c>
    </row>
    <row r="89" spans="1:13" x14ac:dyDescent="0.3">
      <c r="B89" s="81" t="s">
        <v>179</v>
      </c>
      <c r="C89" s="82"/>
      <c r="D89" s="82"/>
      <c r="E89" s="82"/>
      <c r="F89" s="84">
        <v>0.34</v>
      </c>
    </row>
    <row r="91" spans="1:13" x14ac:dyDescent="0.3">
      <c r="M91" s="48"/>
    </row>
    <row r="92" spans="1:13" x14ac:dyDescent="0.3">
      <c r="B92" s="73" t="s">
        <v>184</v>
      </c>
      <c r="C92" s="47"/>
      <c r="D92" s="47"/>
      <c r="E92" s="47"/>
      <c r="F92" s="47"/>
      <c r="G92" s="22" t="s">
        <v>12</v>
      </c>
      <c r="H92" s="22" t="s">
        <v>13</v>
      </c>
      <c r="I92" s="22" t="s">
        <v>14</v>
      </c>
      <c r="J92" s="22" t="s">
        <v>15</v>
      </c>
      <c r="K92" s="22" t="s">
        <v>16</v>
      </c>
      <c r="L92" s="22" t="s">
        <v>17</v>
      </c>
      <c r="M92" s="23" t="s">
        <v>18</v>
      </c>
    </row>
    <row r="93" spans="1:13" x14ac:dyDescent="0.3">
      <c r="M93" s="48"/>
    </row>
    <row r="94" spans="1:13" x14ac:dyDescent="0.3">
      <c r="B94" s="41" t="s">
        <v>180</v>
      </c>
      <c r="G94" s="77">
        <v>33500</v>
      </c>
      <c r="H94" s="77">
        <f>G97</f>
        <v>32663.449999999997</v>
      </c>
      <c r="I94" s="77">
        <f t="shared" ref="I94:M94" si="18">H97</f>
        <v>32438.406344999996</v>
      </c>
      <c r="J94" s="77">
        <f t="shared" si="18"/>
        <v>32697.897383137497</v>
      </c>
      <c r="K94" s="77">
        <f t="shared" si="18"/>
        <v>33292.482063137155</v>
      </c>
      <c r="L94" s="77">
        <f t="shared" si="18"/>
        <v>34036.264045644923</v>
      </c>
      <c r="M94" s="107">
        <f t="shared" si="18"/>
        <v>35070.005318878895</v>
      </c>
    </row>
    <row r="95" spans="1:13" x14ac:dyDescent="0.3">
      <c r="B95" s="41" t="s">
        <v>118</v>
      </c>
      <c r="G95" s="77">
        <f>-'Financial Statements'!P105</f>
        <v>12715</v>
      </c>
      <c r="H95" s="77">
        <f>-'Financial Statements'!Q105</f>
        <v>13109.0715</v>
      </c>
      <c r="I95" s="77">
        <f>-'Financial Statements'!R105</f>
        <v>13600.661681250001</v>
      </c>
      <c r="J95" s="77">
        <f>-'Financial Statements'!S105</f>
        <v>14110.686494296877</v>
      </c>
      <c r="K95" s="77">
        <f>-'Financial Statements'!T105</f>
        <v>14534.007089125784</v>
      </c>
      <c r="L95" s="77">
        <f>-'Financial Statements'!U105</f>
        <v>15188.037408136444</v>
      </c>
      <c r="M95" s="107">
        <f>-'Financial Statements'!V105</f>
        <v>15567.738343339854</v>
      </c>
    </row>
    <row r="96" spans="1:13" x14ac:dyDescent="0.3">
      <c r="B96" s="41" t="s">
        <v>181</v>
      </c>
      <c r="G96" s="77">
        <f>(G94+G95*$F$88)*$F$89</f>
        <v>13551.550000000001</v>
      </c>
      <c r="H96" s="77">
        <f t="shared" ref="H96:M96" si="19">(H94+H95*$F$88)*$F$89</f>
        <v>13334.115155000001</v>
      </c>
      <c r="I96" s="77">
        <f t="shared" si="19"/>
        <v>13341.1706431125</v>
      </c>
      <c r="J96" s="77">
        <f t="shared" si="19"/>
        <v>13516.101814297221</v>
      </c>
      <c r="K96" s="77">
        <f t="shared" si="19"/>
        <v>13790.225106618016</v>
      </c>
      <c r="L96" s="77">
        <f t="shared" si="19"/>
        <v>14154.29613490247</v>
      </c>
      <c r="M96" s="107">
        <f t="shared" si="19"/>
        <v>14570.3173267866</v>
      </c>
    </row>
    <row r="97" spans="2:13" x14ac:dyDescent="0.3">
      <c r="B97" s="51" t="s">
        <v>183</v>
      </c>
      <c r="C97" s="51"/>
      <c r="D97" s="51"/>
      <c r="E97" s="51"/>
      <c r="F97" s="51"/>
      <c r="G97" s="111">
        <f>G94+G95-G96</f>
        <v>32663.449999999997</v>
      </c>
      <c r="H97" s="111">
        <f t="shared" ref="H97:M97" si="20">H94+H95-H96</f>
        <v>32438.406344999996</v>
      </c>
      <c r="I97" s="111">
        <f t="shared" si="20"/>
        <v>32697.897383137497</v>
      </c>
      <c r="J97" s="111">
        <f t="shared" si="20"/>
        <v>33292.482063137155</v>
      </c>
      <c r="K97" s="111">
        <f t="shared" si="20"/>
        <v>34036.264045644923</v>
      </c>
      <c r="L97" s="111">
        <f t="shared" si="20"/>
        <v>35070.005318878895</v>
      </c>
      <c r="M97" s="112">
        <f t="shared" si="20"/>
        <v>36067.426335432152</v>
      </c>
    </row>
    <row r="99" spans="2:13" x14ac:dyDescent="0.3">
      <c r="M99" s="48"/>
    </row>
    <row r="100" spans="2:13" x14ac:dyDescent="0.3">
      <c r="B100" s="73" t="s">
        <v>185</v>
      </c>
      <c r="C100" s="47"/>
      <c r="D100" s="47"/>
      <c r="E100" s="47"/>
      <c r="F100" s="47"/>
      <c r="G100" s="22" t="s">
        <v>12</v>
      </c>
      <c r="H100" s="22" t="s">
        <v>13</v>
      </c>
      <c r="I100" s="22" t="s">
        <v>14</v>
      </c>
      <c r="J100" s="22" t="s">
        <v>15</v>
      </c>
      <c r="K100" s="22" t="s">
        <v>16</v>
      </c>
      <c r="L100" s="22" t="s">
        <v>17</v>
      </c>
      <c r="M100" s="23" t="s">
        <v>18</v>
      </c>
    </row>
    <row r="101" spans="2:13" x14ac:dyDescent="0.3">
      <c r="M101" s="48"/>
    </row>
    <row r="102" spans="2:13" x14ac:dyDescent="0.3">
      <c r="B102" s="41" t="s">
        <v>38</v>
      </c>
      <c r="G102" s="77">
        <f>'Financial Statements'!P45</f>
        <v>132729</v>
      </c>
      <c r="H102" s="77">
        <f ca="1">'Financial Statements'!Q45</f>
        <v>152714.16158889292</v>
      </c>
      <c r="I102" s="77">
        <f ca="1">'Financial Statements'!R45</f>
        <v>158657.52424530222</v>
      </c>
      <c r="J102" s="77">
        <f ca="1">'Financial Statements'!S45</f>
        <v>164933.55053150826</v>
      </c>
      <c r="K102" s="77">
        <f ca="1">'Financial Statements'!T45</f>
        <v>170364.67403700191</v>
      </c>
      <c r="L102" s="77">
        <f ca="1">'Financial Statements'!U45</f>
        <v>178714.41083191923</v>
      </c>
      <c r="M102" s="107">
        <f ca="1">'Financial Statements'!V45</f>
        <v>184036.39199059064</v>
      </c>
    </row>
    <row r="103" spans="2:13" x14ac:dyDescent="0.3">
      <c r="B103" s="41" t="s">
        <v>186</v>
      </c>
      <c r="G103" s="77">
        <f>'Financial Statements'!P31</f>
        <v>11698</v>
      </c>
      <c r="H103" s="77">
        <f t="shared" ref="H103:L103" si="21">H56</f>
        <v>12353.453575</v>
      </c>
      <c r="I103" s="77">
        <f t="shared" si="21"/>
        <v>13688.940234062498</v>
      </c>
      <c r="J103" s="77">
        <f t="shared" si="21"/>
        <v>15074.507642839842</v>
      </c>
      <c r="K103" s="77">
        <f t="shared" si="21"/>
        <v>16506.742322010978</v>
      </c>
      <c r="L103" s="77">
        <f t="shared" si="21"/>
        <v>17992.844546874087</v>
      </c>
      <c r="M103" s="107">
        <f>L103</f>
        <v>17992.844546874087</v>
      </c>
    </row>
    <row r="104" spans="2:13" x14ac:dyDescent="0.3">
      <c r="B104" s="41" t="s">
        <v>188</v>
      </c>
      <c r="G104" s="77">
        <f t="shared" ref="G104:M104" si="22">-G96</f>
        <v>-13551.550000000001</v>
      </c>
      <c r="H104" s="77">
        <f t="shared" si="22"/>
        <v>-13334.115155000001</v>
      </c>
      <c r="I104" s="77">
        <f t="shared" si="22"/>
        <v>-13341.1706431125</v>
      </c>
      <c r="J104" s="77">
        <f t="shared" si="22"/>
        <v>-13516.101814297221</v>
      </c>
      <c r="K104" s="77">
        <f t="shared" si="22"/>
        <v>-13790.225106618016</v>
      </c>
      <c r="L104" s="77">
        <f t="shared" si="22"/>
        <v>-14154.29613490247</v>
      </c>
      <c r="M104" s="107">
        <f t="shared" si="22"/>
        <v>-14570.3173267866</v>
      </c>
    </row>
    <row r="105" spans="2:13" x14ac:dyDescent="0.3">
      <c r="B105" s="51" t="s">
        <v>189</v>
      </c>
      <c r="C105" s="51"/>
      <c r="D105" s="51"/>
      <c r="E105" s="51"/>
      <c r="F105" s="51"/>
      <c r="G105" s="111">
        <f t="shared" ref="G105:M105" si="23">SUM(G102:G104)</f>
        <v>130875.45</v>
      </c>
      <c r="H105" s="111">
        <f t="shared" ca="1" si="23"/>
        <v>151733.50000889291</v>
      </c>
      <c r="I105" s="111">
        <f t="shared" ca="1" si="23"/>
        <v>159005.29383625221</v>
      </c>
      <c r="J105" s="111">
        <f t="shared" ca="1" si="23"/>
        <v>166491.95636005086</v>
      </c>
      <c r="K105" s="111">
        <f t="shared" ca="1" si="23"/>
        <v>173081.19125239487</v>
      </c>
      <c r="L105" s="111">
        <f t="shared" ca="1" si="23"/>
        <v>182552.95924389083</v>
      </c>
      <c r="M105" s="112">
        <f t="shared" ca="1" si="23"/>
        <v>187458.91921067811</v>
      </c>
    </row>
    <row r="108" spans="2:13" x14ac:dyDescent="0.3">
      <c r="M108" s="48"/>
    </row>
    <row r="109" spans="2:13" x14ac:dyDescent="0.3">
      <c r="B109" s="73" t="s">
        <v>190</v>
      </c>
      <c r="C109" s="47"/>
      <c r="D109" s="47"/>
      <c r="E109" s="47"/>
      <c r="F109" s="47"/>
      <c r="G109" s="22" t="s">
        <v>12</v>
      </c>
      <c r="H109" s="22" t="s">
        <v>13</v>
      </c>
      <c r="I109" s="22" t="s">
        <v>14</v>
      </c>
      <c r="J109" s="22" t="s">
        <v>15</v>
      </c>
      <c r="K109" s="22" t="s">
        <v>16</v>
      </c>
      <c r="L109" s="22" t="s">
        <v>17</v>
      </c>
      <c r="M109" s="23" t="s">
        <v>18</v>
      </c>
    </row>
    <row r="110" spans="2:13" x14ac:dyDescent="0.3">
      <c r="M110" s="48"/>
    </row>
    <row r="111" spans="2:13" x14ac:dyDescent="0.3">
      <c r="B111" s="41" t="s">
        <v>189</v>
      </c>
      <c r="G111" s="77">
        <f t="shared" ref="G111:M111" si="24">G105</f>
        <v>130875.45</v>
      </c>
      <c r="H111" s="77">
        <f t="shared" ca="1" si="24"/>
        <v>151733.50000889291</v>
      </c>
      <c r="I111" s="77">
        <f t="shared" ca="1" si="24"/>
        <v>159005.29383625221</v>
      </c>
      <c r="J111" s="77">
        <f t="shared" ca="1" si="24"/>
        <v>166491.95636005086</v>
      </c>
      <c r="K111" s="77">
        <f t="shared" ca="1" si="24"/>
        <v>173081.19125239487</v>
      </c>
      <c r="L111" s="77">
        <f t="shared" ca="1" si="24"/>
        <v>182552.95924389083</v>
      </c>
      <c r="M111" s="107">
        <f t="shared" ca="1" si="24"/>
        <v>187458.91921067811</v>
      </c>
    </row>
    <row r="112" spans="2:13" x14ac:dyDescent="0.3">
      <c r="B112" s="41" t="s">
        <v>191</v>
      </c>
      <c r="G112" s="77">
        <v>0</v>
      </c>
      <c r="H112" s="77">
        <v>0</v>
      </c>
      <c r="I112" s="77">
        <v>0</v>
      </c>
      <c r="J112" s="77">
        <v>0</v>
      </c>
      <c r="K112" s="77">
        <v>0</v>
      </c>
      <c r="L112" s="77">
        <v>0</v>
      </c>
      <c r="M112" s="107">
        <v>0</v>
      </c>
    </row>
    <row r="113" spans="2:13" x14ac:dyDescent="0.3">
      <c r="B113" s="51" t="s">
        <v>192</v>
      </c>
      <c r="C113" s="51"/>
      <c r="D113" s="51"/>
      <c r="E113" s="51"/>
      <c r="F113" s="51"/>
      <c r="G113" s="111">
        <f t="shared" ref="G113:M113" si="25">G111-G112</f>
        <v>130875.45</v>
      </c>
      <c r="H113" s="111">
        <f t="shared" ca="1" si="25"/>
        <v>151733.50000889291</v>
      </c>
      <c r="I113" s="111">
        <f t="shared" ca="1" si="25"/>
        <v>159005.29383625221</v>
      </c>
      <c r="J113" s="111">
        <f t="shared" ca="1" si="25"/>
        <v>166491.95636005086</v>
      </c>
      <c r="K113" s="111">
        <f t="shared" ca="1" si="25"/>
        <v>173081.19125239487</v>
      </c>
      <c r="L113" s="111">
        <f t="shared" ca="1" si="25"/>
        <v>182552.95924389083</v>
      </c>
      <c r="M113" s="112">
        <f t="shared" ca="1" si="25"/>
        <v>187458.91921067811</v>
      </c>
    </row>
    <row r="116" spans="2:13" x14ac:dyDescent="0.3">
      <c r="M116" s="48"/>
    </row>
    <row r="117" spans="2:13" x14ac:dyDescent="0.3">
      <c r="B117" s="73" t="s">
        <v>194</v>
      </c>
      <c r="C117" s="47"/>
      <c r="D117" s="47"/>
      <c r="E117" s="47"/>
      <c r="F117" s="47"/>
      <c r="G117" s="22" t="s">
        <v>12</v>
      </c>
      <c r="H117" s="22" t="s">
        <v>13</v>
      </c>
      <c r="I117" s="22" t="s">
        <v>14</v>
      </c>
      <c r="J117" s="22" t="s">
        <v>15</v>
      </c>
      <c r="K117" s="22" t="s">
        <v>16</v>
      </c>
      <c r="L117" s="22" t="s">
        <v>17</v>
      </c>
      <c r="M117" s="23" t="s">
        <v>18</v>
      </c>
    </row>
    <row r="118" spans="2:13" x14ac:dyDescent="0.3">
      <c r="M118" s="48"/>
    </row>
    <row r="119" spans="2:13" x14ac:dyDescent="0.3">
      <c r="B119" s="41" t="s">
        <v>195</v>
      </c>
      <c r="G119" s="77">
        <v>0</v>
      </c>
      <c r="H119" s="77">
        <v>0</v>
      </c>
      <c r="I119" s="77">
        <v>0</v>
      </c>
      <c r="J119" s="77">
        <v>0</v>
      </c>
      <c r="K119" s="77">
        <v>0</v>
      </c>
      <c r="L119" s="77">
        <v>0</v>
      </c>
      <c r="M119" s="107">
        <v>0</v>
      </c>
    </row>
    <row r="120" spans="2:13" x14ac:dyDescent="0.3">
      <c r="B120" s="41" t="s">
        <v>196</v>
      </c>
      <c r="G120" s="77">
        <v>0</v>
      </c>
      <c r="H120" s="77">
        <v>0</v>
      </c>
      <c r="I120" s="77">
        <v>0</v>
      </c>
      <c r="J120" s="77">
        <v>0</v>
      </c>
      <c r="K120" s="77">
        <v>0</v>
      </c>
      <c r="L120" s="77">
        <v>0</v>
      </c>
      <c r="M120" s="107">
        <v>0</v>
      </c>
    </row>
    <row r="121" spans="2:13" x14ac:dyDescent="0.3">
      <c r="B121" s="41" t="s">
        <v>191</v>
      </c>
      <c r="G121" s="77">
        <v>0</v>
      </c>
      <c r="H121" s="77">
        <v>0</v>
      </c>
      <c r="I121" s="77">
        <v>0</v>
      </c>
      <c r="J121" s="77">
        <v>0</v>
      </c>
      <c r="K121" s="77">
        <v>0</v>
      </c>
      <c r="L121" s="77">
        <v>0</v>
      </c>
      <c r="M121" s="107">
        <v>0</v>
      </c>
    </row>
    <row r="122" spans="2:13" x14ac:dyDescent="0.3">
      <c r="B122" s="51" t="s">
        <v>182</v>
      </c>
      <c r="C122" s="51"/>
      <c r="D122" s="51"/>
      <c r="E122" s="51"/>
      <c r="F122" s="51"/>
      <c r="G122" s="111">
        <f t="shared" ref="G122:M122" si="26">G119+G120-G121</f>
        <v>0</v>
      </c>
      <c r="H122" s="111">
        <f t="shared" si="26"/>
        <v>0</v>
      </c>
      <c r="I122" s="111">
        <f t="shared" si="26"/>
        <v>0</v>
      </c>
      <c r="J122" s="111">
        <f t="shared" si="26"/>
        <v>0</v>
      </c>
      <c r="K122" s="111">
        <f t="shared" si="26"/>
        <v>0</v>
      </c>
      <c r="L122" s="111">
        <f t="shared" si="26"/>
        <v>0</v>
      </c>
      <c r="M122" s="112">
        <f t="shared" si="26"/>
        <v>0</v>
      </c>
    </row>
    <row r="124" spans="2:13" x14ac:dyDescent="0.3">
      <c r="M124" s="48"/>
    </row>
    <row r="125" spans="2:13" x14ac:dyDescent="0.3">
      <c r="B125" s="73" t="s">
        <v>199</v>
      </c>
      <c r="C125" s="47"/>
      <c r="D125" s="47"/>
      <c r="E125" s="47"/>
      <c r="F125" s="47"/>
      <c r="G125" s="22" t="s">
        <v>12</v>
      </c>
      <c r="H125" s="22" t="s">
        <v>13</v>
      </c>
      <c r="I125" s="22" t="s">
        <v>14</v>
      </c>
      <c r="J125" s="22" t="s">
        <v>15</v>
      </c>
      <c r="K125" s="22" t="s">
        <v>16</v>
      </c>
      <c r="L125" s="22" t="s">
        <v>17</v>
      </c>
      <c r="M125" s="23" t="s">
        <v>18</v>
      </c>
    </row>
    <row r="126" spans="2:13" x14ac:dyDescent="0.3">
      <c r="M126" s="48"/>
    </row>
    <row r="127" spans="2:13" x14ac:dyDescent="0.3">
      <c r="B127" s="41" t="s">
        <v>200</v>
      </c>
      <c r="G127" s="77">
        <f t="shared" ref="G127:M127" si="27">G113*$M$88</f>
        <v>22248.826500000003</v>
      </c>
      <c r="H127" s="77">
        <f t="shared" ca="1" si="27"/>
        <v>25794.695001511795</v>
      </c>
      <c r="I127" s="77">
        <f t="shared" ca="1" si="27"/>
        <v>27030.899952162879</v>
      </c>
      <c r="J127" s="77">
        <f t="shared" ca="1" si="27"/>
        <v>28303.632581208647</v>
      </c>
      <c r="K127" s="77">
        <f t="shared" ca="1" si="27"/>
        <v>29423.802512907128</v>
      </c>
      <c r="L127" s="77">
        <f t="shared" ca="1" si="27"/>
        <v>31034.003071461444</v>
      </c>
      <c r="M127" s="107">
        <f t="shared" ca="1" si="27"/>
        <v>31868.01626581528</v>
      </c>
    </row>
    <row r="128" spans="2:13" x14ac:dyDescent="0.3">
      <c r="B128" s="41" t="s">
        <v>201</v>
      </c>
      <c r="G128" s="77">
        <f t="shared" ref="G128:M128" si="28">G129-G127</f>
        <v>315.10349999999744</v>
      </c>
      <c r="H128" s="77">
        <f t="shared" ca="1" si="28"/>
        <v>166.71246860074098</v>
      </c>
      <c r="I128" s="77">
        <f t="shared" ca="1" si="28"/>
        <v>-59.12083045964755</v>
      </c>
      <c r="J128" s="77">
        <f t="shared" ca="1" si="28"/>
        <v>-264.92899085512181</v>
      </c>
      <c r="K128" s="77">
        <f t="shared" ca="1" si="28"/>
        <v>-461.80792665051922</v>
      </c>
      <c r="L128" s="77">
        <f t="shared" ca="1" si="28"/>
        <v>-652.55323017064802</v>
      </c>
      <c r="M128" s="107">
        <f t="shared" ca="1" si="28"/>
        <v>-581.82962780831076</v>
      </c>
    </row>
    <row r="129" spans="2:13" ht="16.2" thickBot="1" x14ac:dyDescent="0.35">
      <c r="B129" s="104" t="s">
        <v>202</v>
      </c>
      <c r="C129" s="104"/>
      <c r="D129" s="104"/>
      <c r="E129" s="104"/>
      <c r="F129" s="104"/>
      <c r="G129" s="102">
        <f t="shared" ref="G129:M129" si="29">MAX(G102*$M$88,0)</f>
        <v>22563.93</v>
      </c>
      <c r="H129" s="102">
        <f t="shared" ca="1" si="29"/>
        <v>25961.407470111797</v>
      </c>
      <c r="I129" s="102">
        <f t="shared" ca="1" si="29"/>
        <v>26971.77912170138</v>
      </c>
      <c r="J129" s="102">
        <f t="shared" ca="1" si="29"/>
        <v>28038.703590356406</v>
      </c>
      <c r="K129" s="102">
        <f t="shared" ca="1" si="29"/>
        <v>28961.994586290326</v>
      </c>
      <c r="L129" s="102">
        <f t="shared" ca="1" si="29"/>
        <v>30381.449841426271</v>
      </c>
      <c r="M129" s="108">
        <f t="shared" ca="1" si="29"/>
        <v>31286.18663840041</v>
      </c>
    </row>
    <row r="130" spans="2:13" ht="16.2" thickTop="1" x14ac:dyDescent="0.3"/>
    <row r="132" spans="2:13" ht="20.399999999999999" x14ac:dyDescent="0.35">
      <c r="B132" s="147" t="s">
        <v>126</v>
      </c>
      <c r="C132" s="42"/>
      <c r="D132" s="42"/>
      <c r="E132" s="42"/>
      <c r="F132" s="42"/>
      <c r="G132" s="42"/>
      <c r="H132" s="42"/>
      <c r="I132" s="42"/>
      <c r="J132" s="42"/>
      <c r="K132" s="42"/>
      <c r="L132" s="42"/>
    </row>
    <row r="134" spans="2:13" x14ac:dyDescent="0.3">
      <c r="B134" s="282" t="s">
        <v>214</v>
      </c>
      <c r="C134" s="282"/>
      <c r="D134" s="282"/>
      <c r="E134" s="282"/>
      <c r="F134" s="282" t="s">
        <v>128</v>
      </c>
      <c r="G134" s="282"/>
      <c r="H134" s="282"/>
      <c r="I134" s="282"/>
      <c r="J134" s="282"/>
      <c r="K134" s="282"/>
      <c r="L134" s="282"/>
    </row>
    <row r="135" spans="2:13" ht="34.049999999999997" customHeight="1" x14ac:dyDescent="0.3">
      <c r="B135" s="278" t="s">
        <v>345</v>
      </c>
      <c r="C135" s="278"/>
      <c r="D135" s="278"/>
      <c r="E135" s="278"/>
      <c r="F135" s="279" t="s">
        <v>346</v>
      </c>
      <c r="G135" s="279"/>
      <c r="H135" s="279"/>
      <c r="I135" s="279"/>
      <c r="J135" s="279"/>
      <c r="K135" s="279"/>
      <c r="L135" s="279"/>
    </row>
    <row r="136" spans="2:13" ht="34.049999999999997" customHeight="1" x14ac:dyDescent="0.3">
      <c r="B136" s="278" t="s">
        <v>347</v>
      </c>
      <c r="C136" s="278"/>
      <c r="D136" s="278"/>
      <c r="E136" s="278"/>
      <c r="F136" s="279" t="s">
        <v>348</v>
      </c>
      <c r="G136" s="279"/>
      <c r="H136" s="279"/>
      <c r="I136" s="279"/>
      <c r="J136" s="279"/>
      <c r="K136" s="279"/>
      <c r="L136" s="279"/>
    </row>
    <row r="137" spans="2:13" ht="19.05" customHeight="1" x14ac:dyDescent="0.3">
      <c r="B137" s="278" t="s">
        <v>167</v>
      </c>
      <c r="C137" s="278"/>
      <c r="D137" s="278"/>
      <c r="E137" s="278"/>
      <c r="F137" s="279" t="s">
        <v>349</v>
      </c>
      <c r="G137" s="279"/>
      <c r="H137" s="279"/>
      <c r="I137" s="279"/>
      <c r="J137" s="279"/>
      <c r="K137" s="279"/>
      <c r="L137" s="279"/>
    </row>
    <row r="138" spans="2:13" ht="64.05" customHeight="1" x14ac:dyDescent="0.3">
      <c r="B138" s="278" t="s">
        <v>193</v>
      </c>
      <c r="C138" s="278"/>
      <c r="D138" s="278"/>
      <c r="E138" s="278"/>
      <c r="F138" s="279" t="s">
        <v>350</v>
      </c>
      <c r="G138" s="279"/>
      <c r="H138" s="279"/>
      <c r="I138" s="279"/>
      <c r="J138" s="279"/>
      <c r="K138" s="279"/>
      <c r="L138" s="279"/>
    </row>
    <row r="139" spans="2:13" ht="64.05" customHeight="1" x14ac:dyDescent="0.3">
      <c r="B139" s="278" t="s">
        <v>179</v>
      </c>
      <c r="C139" s="278"/>
      <c r="D139" s="278"/>
      <c r="E139" s="278"/>
      <c r="F139" s="279" t="s">
        <v>351</v>
      </c>
      <c r="G139" s="279"/>
      <c r="H139" s="279"/>
      <c r="I139" s="279"/>
      <c r="J139" s="279"/>
      <c r="K139" s="279"/>
      <c r="L139" s="279"/>
    </row>
    <row r="140" spans="2:13" ht="49.05" customHeight="1" x14ac:dyDescent="0.3">
      <c r="B140" s="278" t="s">
        <v>352</v>
      </c>
      <c r="C140" s="278"/>
      <c r="D140" s="278"/>
      <c r="E140" s="278"/>
      <c r="F140" s="279" t="s">
        <v>353</v>
      </c>
      <c r="G140" s="279"/>
      <c r="H140" s="279"/>
      <c r="I140" s="279"/>
      <c r="J140" s="279"/>
      <c r="K140" s="279"/>
      <c r="L140" s="279"/>
    </row>
    <row r="141" spans="2:13" ht="19.05" customHeight="1" x14ac:dyDescent="0.3">
      <c r="B141" s="280" t="s">
        <v>187</v>
      </c>
      <c r="C141" s="280"/>
      <c r="D141" s="280"/>
      <c r="E141" s="280"/>
      <c r="F141" s="281" t="s">
        <v>354</v>
      </c>
      <c r="G141" s="281"/>
      <c r="H141" s="281"/>
      <c r="I141" s="281"/>
      <c r="J141" s="281"/>
      <c r="K141" s="281"/>
      <c r="L141" s="281"/>
    </row>
  </sheetData>
  <mergeCells count="16">
    <mergeCell ref="B134:E134"/>
    <mergeCell ref="F134:L134"/>
    <mergeCell ref="B135:E135"/>
    <mergeCell ref="F135:L135"/>
    <mergeCell ref="B136:E136"/>
    <mergeCell ref="F136:L136"/>
    <mergeCell ref="B140:E140"/>
    <mergeCell ref="F140:L140"/>
    <mergeCell ref="B141:E141"/>
    <mergeCell ref="F141:L141"/>
    <mergeCell ref="B137:E137"/>
    <mergeCell ref="F137:L137"/>
    <mergeCell ref="B138:E138"/>
    <mergeCell ref="F138:L138"/>
    <mergeCell ref="B139:E139"/>
    <mergeCell ref="F139:L139"/>
  </mergeCells>
  <printOptions horizontalCentered="1"/>
  <pageMargins left="0.7" right="0.7" top="0.75" bottom="0.75" header="0.3" footer="0.3"/>
  <pageSetup scale="83" fitToHeight="0" orientation="landscape" r:id="rId1"/>
  <headerFooter>
    <oddFooter>&amp;LApple Inc. — DCF Valuation&amp;C&amp;A&amp;RPage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AE46-AF5D-425B-9A82-FB90B28887DC}">
  <sheetPr>
    <tabColor rgb="FF002060"/>
    <pageSetUpPr fitToPage="1"/>
  </sheetPr>
  <dimension ref="B3:M56"/>
  <sheetViews>
    <sheetView showGridLines="0" workbookViewId="0">
      <selection activeCell="E14" sqref="E14"/>
    </sheetView>
  </sheetViews>
  <sheetFormatPr defaultRowHeight="15.6" x14ac:dyDescent="0.3"/>
  <cols>
    <col min="1" max="1" width="8.88671875" style="41"/>
    <col min="2" max="2" width="13.33203125" style="41" customWidth="1"/>
    <col min="3" max="3" width="8.88671875" style="41"/>
    <col min="4" max="4" width="9.88671875" style="41" bestFit="1" customWidth="1"/>
    <col min="5" max="5" width="12.5546875" style="41" bestFit="1" customWidth="1"/>
    <col min="6" max="6" width="8.88671875" style="41"/>
    <col min="7" max="7" width="9.88671875" style="41" bestFit="1" customWidth="1"/>
    <col min="8" max="9" width="8.88671875" style="41"/>
    <col min="10" max="12" width="10.77734375" style="41" customWidth="1"/>
    <col min="13" max="16384" width="8.88671875" style="41"/>
  </cols>
  <sheetData>
    <row r="3" spans="2:13" ht="21" x14ac:dyDescent="0.4">
      <c r="B3" s="44" t="s">
        <v>223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2:13" x14ac:dyDescent="0.3">
      <c r="B4" s="239" t="s">
        <v>332</v>
      </c>
    </row>
    <row r="5" spans="2:13" x14ac:dyDescent="0.3">
      <c r="B5" s="73" t="s">
        <v>225</v>
      </c>
      <c r="C5" s="47"/>
      <c r="D5" s="47"/>
      <c r="E5" s="22" t="s">
        <v>13</v>
      </c>
      <c r="F5" s="22" t="s">
        <v>14</v>
      </c>
      <c r="G5" s="22" t="s">
        <v>15</v>
      </c>
      <c r="H5" s="22" t="s">
        <v>16</v>
      </c>
      <c r="I5" s="22" t="s">
        <v>17</v>
      </c>
    </row>
    <row r="7" spans="2:13" x14ac:dyDescent="0.3">
      <c r="B7" s="41" t="s">
        <v>100</v>
      </c>
      <c r="E7" s="77">
        <f>'Financial Statements'!Q183</f>
        <v>78328</v>
      </c>
      <c r="F7" s="77">
        <f>'Financial Statements'!R183</f>
        <v>78328</v>
      </c>
      <c r="G7" s="77">
        <f>'Financial Statements'!S183</f>
        <v>78328</v>
      </c>
      <c r="H7" s="77">
        <f>'Financial Statements'!T183</f>
        <v>78328</v>
      </c>
      <c r="I7" s="77">
        <f>'Financial Statements'!U183</f>
        <v>78328</v>
      </c>
    </row>
    <row r="8" spans="2:13" x14ac:dyDescent="0.3">
      <c r="B8" s="41" t="s">
        <v>220</v>
      </c>
      <c r="E8" s="77">
        <f>'Financial Statements'!Q175</f>
        <v>20329</v>
      </c>
      <c r="F8" s="77">
        <f>'Financial Statements'!R175</f>
        <v>20329</v>
      </c>
      <c r="G8" s="77">
        <f>'Financial Statements'!S175</f>
        <v>20329</v>
      </c>
      <c r="H8" s="77">
        <f>'Financial Statements'!T175</f>
        <v>20329</v>
      </c>
      <c r="I8" s="77">
        <f>'Financial Statements'!U175</f>
        <v>20329</v>
      </c>
    </row>
    <row r="9" spans="2:13" x14ac:dyDescent="0.3">
      <c r="B9" s="51" t="s">
        <v>226</v>
      </c>
      <c r="C9" s="51"/>
      <c r="D9" s="51"/>
      <c r="E9" s="111">
        <f>SUM(E7:E8)</f>
        <v>98657</v>
      </c>
      <c r="F9" s="111">
        <f t="shared" ref="F9:I9" si="0">SUM(F7:F8)</f>
        <v>98657</v>
      </c>
      <c r="G9" s="111">
        <f t="shared" si="0"/>
        <v>98657</v>
      </c>
      <c r="H9" s="111">
        <f t="shared" si="0"/>
        <v>98657</v>
      </c>
      <c r="I9" s="111">
        <f t="shared" si="0"/>
        <v>98657</v>
      </c>
    </row>
    <row r="10" spans="2:13" x14ac:dyDescent="0.3">
      <c r="E10" s="77"/>
      <c r="F10" s="77"/>
      <c r="G10" s="77"/>
      <c r="H10" s="77"/>
      <c r="I10" s="77"/>
    </row>
    <row r="11" spans="2:13" x14ac:dyDescent="0.3">
      <c r="B11" s="51" t="s">
        <v>36</v>
      </c>
      <c r="C11" s="51"/>
      <c r="D11" s="51"/>
      <c r="E11" s="111">
        <f>'Financial Statements'!Q41</f>
        <v>-3946.28</v>
      </c>
      <c r="F11" s="111">
        <f>'Financial Statements'!R41</f>
        <v>-3946.28</v>
      </c>
      <c r="G11" s="111">
        <f>'Financial Statements'!S41</f>
        <v>-3946.28</v>
      </c>
      <c r="H11" s="111">
        <f>'Financial Statements'!T41</f>
        <v>-3946.28</v>
      </c>
      <c r="I11" s="111">
        <f>'Financial Statements'!U41</f>
        <v>-3946.28</v>
      </c>
    </row>
    <row r="13" spans="2:13" x14ac:dyDescent="0.3">
      <c r="B13" s="149" t="s">
        <v>253</v>
      </c>
      <c r="C13" s="114"/>
      <c r="D13" s="114"/>
      <c r="E13" s="150">
        <f>-AVERAGE(E11/E9,F11/F9,G11/G9,H11/H9,I11/I9)</f>
        <v>0.04</v>
      </c>
    </row>
    <row r="15" spans="2:13" x14ac:dyDescent="0.3">
      <c r="B15" s="149" t="s">
        <v>255</v>
      </c>
      <c r="C15" s="114"/>
      <c r="D15" s="114"/>
      <c r="E15" s="150">
        <f>E13*(1-Schedules!M88)</f>
        <v>3.32E-2</v>
      </c>
    </row>
    <row r="16" spans="2:13" x14ac:dyDescent="0.3">
      <c r="B16" s="148"/>
      <c r="C16" s="143"/>
      <c r="D16" s="143"/>
      <c r="E16" s="143"/>
      <c r="F16" s="143"/>
      <c r="G16" s="143"/>
      <c r="H16" s="143"/>
      <c r="I16" s="143"/>
      <c r="J16" s="143"/>
      <c r="K16" s="143"/>
      <c r="L16" s="143"/>
    </row>
    <row r="17" spans="2:12" x14ac:dyDescent="0.3">
      <c r="B17" s="148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  <row r="18" spans="2:12" x14ac:dyDescent="0.3">
      <c r="B18" s="161" t="s">
        <v>254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</row>
    <row r="19" spans="2:12" x14ac:dyDescent="0.3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</row>
    <row r="20" spans="2:12" ht="30" customHeight="1" x14ac:dyDescent="0.3">
      <c r="B20" s="285" t="s">
        <v>256</v>
      </c>
      <c r="C20" s="286"/>
      <c r="D20" s="286"/>
      <c r="E20" s="151" t="s">
        <v>257</v>
      </c>
      <c r="F20" s="151" t="s">
        <v>258</v>
      </c>
      <c r="G20" s="151" t="s">
        <v>259</v>
      </c>
      <c r="H20" s="151" t="s">
        <v>117</v>
      </c>
      <c r="I20" s="151" t="s">
        <v>260</v>
      </c>
      <c r="J20" s="151" t="s">
        <v>261</v>
      </c>
      <c r="K20" s="151" t="s">
        <v>262</v>
      </c>
      <c r="L20" s="151" t="s">
        <v>263</v>
      </c>
    </row>
    <row r="21" spans="2:12" x14ac:dyDescent="0.3">
      <c r="B21" s="287" t="s">
        <v>266</v>
      </c>
      <c r="C21" s="288"/>
      <c r="D21" s="288"/>
      <c r="E21" s="152" t="s">
        <v>267</v>
      </c>
      <c r="F21" s="101">
        <v>40400</v>
      </c>
      <c r="G21" s="101">
        <v>2770000</v>
      </c>
      <c r="H21" s="154">
        <v>0.19</v>
      </c>
      <c r="I21" s="155">
        <f>F21/G21</f>
        <v>1.4584837545126354E-2</v>
      </c>
      <c r="J21" s="155">
        <f>F21/(F21+G21)</f>
        <v>1.4375177910617706E-2</v>
      </c>
      <c r="K21" s="156">
        <v>1.1000000000000001</v>
      </c>
      <c r="L21" s="157">
        <f>K21/(1+(1-H21)*I21)</f>
        <v>1.0871566376139785</v>
      </c>
    </row>
    <row r="22" spans="2:12" x14ac:dyDescent="0.3">
      <c r="B22" s="287" t="s">
        <v>268</v>
      </c>
      <c r="C22" s="288"/>
      <c r="D22" s="288"/>
      <c r="E22" s="152" t="s">
        <v>267</v>
      </c>
      <c r="F22" s="101">
        <v>48522</v>
      </c>
      <c r="G22" s="101">
        <v>4320000</v>
      </c>
      <c r="H22" s="154">
        <v>0.17499999999999999</v>
      </c>
      <c r="I22" s="155">
        <f>F22/G22</f>
        <v>1.1231944444444444E-2</v>
      </c>
      <c r="J22" s="155">
        <f>F22/(F22+G22)</f>
        <v>1.1107189113388921E-2</v>
      </c>
      <c r="K22" s="156">
        <v>1.24</v>
      </c>
      <c r="L22" s="157">
        <f>K22/(1+(1-H22)*I22)</f>
        <v>1.2286152162714727</v>
      </c>
    </row>
    <row r="23" spans="2:12" x14ac:dyDescent="0.3">
      <c r="B23" s="287" t="s">
        <v>269</v>
      </c>
      <c r="C23" s="288"/>
      <c r="D23" s="288"/>
      <c r="E23" s="152" t="s">
        <v>267</v>
      </c>
      <c r="F23" s="101">
        <v>152990</v>
      </c>
      <c r="G23" s="101">
        <v>2500000</v>
      </c>
      <c r="H23" s="154">
        <v>0.15</v>
      </c>
      <c r="I23" s="155">
        <f>F23/G23</f>
        <v>6.1196E-2</v>
      </c>
      <c r="J23" s="155">
        <f>F23/(F23+G23)</f>
        <v>5.7667009675875146E-2</v>
      </c>
      <c r="K23" s="156">
        <v>1.44</v>
      </c>
      <c r="L23" s="157">
        <f>K23/(1+(1-H23)*I23)</f>
        <v>1.3687996938451352</v>
      </c>
    </row>
    <row r="24" spans="2:12" x14ac:dyDescent="0.3">
      <c r="B24" s="287" t="s">
        <v>270</v>
      </c>
      <c r="C24" s="288"/>
      <c r="D24" s="288"/>
      <c r="E24" s="152" t="s">
        <v>267</v>
      </c>
      <c r="F24" s="101">
        <v>58748</v>
      </c>
      <c r="G24" s="101">
        <v>1400000</v>
      </c>
      <c r="H24" s="154">
        <v>0.13</v>
      </c>
      <c r="I24" s="155">
        <f>F24/G24</f>
        <v>4.1962857142857142E-2</v>
      </c>
      <c r="J24" s="155">
        <f>F24/(F24+G24)</f>
        <v>4.0272891548094665E-2</v>
      </c>
      <c r="K24" s="156">
        <v>1.23</v>
      </c>
      <c r="L24" s="157">
        <f>K24/(1+(1-H24)*I24)</f>
        <v>1.1866771630857456</v>
      </c>
    </row>
    <row r="25" spans="2:12" x14ac:dyDescent="0.3">
      <c r="B25" s="289" t="s">
        <v>271</v>
      </c>
      <c r="C25" s="290"/>
      <c r="D25" s="290"/>
      <c r="E25" s="165" t="s">
        <v>272</v>
      </c>
      <c r="F25" s="166">
        <v>18490</v>
      </c>
      <c r="G25" s="166">
        <v>1480000</v>
      </c>
      <c r="H25" s="167">
        <v>0.24</v>
      </c>
      <c r="I25" s="168">
        <f>F25/G25</f>
        <v>1.2493243243243243E-2</v>
      </c>
      <c r="J25" s="168">
        <f>F25/(F25+G25)</f>
        <v>1.2339088015268704E-2</v>
      </c>
      <c r="K25" s="169">
        <v>1.49</v>
      </c>
      <c r="L25" s="170">
        <f>K25/(1+(1-H25)*I25)</f>
        <v>1.4759857150927236</v>
      </c>
    </row>
    <row r="26" spans="2:12" x14ac:dyDescent="0.3">
      <c r="B26" s="143"/>
      <c r="C26" s="143"/>
      <c r="D26" s="143"/>
      <c r="E26" s="143"/>
      <c r="F26" s="143"/>
      <c r="G26" s="143"/>
      <c r="H26" s="155"/>
      <c r="I26" s="155"/>
      <c r="J26" s="155"/>
      <c r="K26" s="157"/>
      <c r="L26" s="157"/>
    </row>
    <row r="27" spans="2:12" x14ac:dyDescent="0.3">
      <c r="B27" s="283" t="s">
        <v>264</v>
      </c>
      <c r="C27" s="283"/>
      <c r="D27" s="283"/>
      <c r="E27" s="283"/>
      <c r="F27" s="158"/>
      <c r="G27" s="158"/>
      <c r="H27" s="159">
        <f>AVERAGE(H21:H25)</f>
        <v>0.17699999999999999</v>
      </c>
      <c r="I27" s="159">
        <f>AVERAGE(I21:I25)</f>
        <v>2.8293776475134237E-2</v>
      </c>
      <c r="J27" s="159">
        <f>AVERAGE(J21:J25)</f>
        <v>2.7152271252649029E-2</v>
      </c>
      <c r="K27" s="160">
        <f>AVERAGE(K21:K25)</f>
        <v>1.3</v>
      </c>
      <c r="L27" s="160">
        <f>AVERAGE(L21:L25)</f>
        <v>1.269446885181811</v>
      </c>
    </row>
    <row r="28" spans="2:12" x14ac:dyDescent="0.3">
      <c r="B28" s="284" t="s">
        <v>265</v>
      </c>
      <c r="C28" s="284"/>
      <c r="D28" s="284"/>
      <c r="E28" s="284"/>
      <c r="F28" s="162"/>
      <c r="G28" s="162"/>
      <c r="H28" s="163">
        <f>MEDIAN(H21:H25)</f>
        <v>0.17499999999999999</v>
      </c>
      <c r="I28" s="163">
        <f>MEDIAN(I21:I25)</f>
        <v>1.4584837545126354E-2</v>
      </c>
      <c r="J28" s="163">
        <f>MEDIAN(J21:J25)</f>
        <v>1.4375177910617706E-2</v>
      </c>
      <c r="K28" s="164">
        <f>MEDIAN(K21:K25)</f>
        <v>1.24</v>
      </c>
      <c r="L28" s="164">
        <f>MEDIAN(L21:L25)</f>
        <v>1.2286152162714727</v>
      </c>
    </row>
    <row r="30" spans="2:12" x14ac:dyDescent="0.3">
      <c r="B30" s="73" t="s">
        <v>273</v>
      </c>
      <c r="C30" s="47"/>
      <c r="D30" s="47"/>
      <c r="E30" s="47"/>
      <c r="H30" s="73" t="s">
        <v>254</v>
      </c>
      <c r="I30" s="47"/>
      <c r="J30" s="47"/>
      <c r="K30" s="47"/>
      <c r="L30" s="47"/>
    </row>
    <row r="32" spans="2:12" x14ac:dyDescent="0.3">
      <c r="B32" s="41" t="s">
        <v>274</v>
      </c>
      <c r="E32" s="173">
        <v>4.4600000000000001E-2</v>
      </c>
      <c r="H32" s="41" t="s">
        <v>283</v>
      </c>
      <c r="L32" s="173">
        <v>4.3700000000000003E-2</v>
      </c>
    </row>
    <row r="33" spans="2:12" x14ac:dyDescent="0.3">
      <c r="B33" s="41" t="s">
        <v>275</v>
      </c>
      <c r="E33" s="172">
        <f>L27</f>
        <v>1.269446885181811</v>
      </c>
      <c r="H33" s="41" t="s">
        <v>276</v>
      </c>
      <c r="L33" s="177">
        <f>E35</f>
        <v>5.6617331079108775E-2</v>
      </c>
    </row>
    <row r="34" spans="2:12" x14ac:dyDescent="0.3">
      <c r="B34" s="41" t="s">
        <v>262</v>
      </c>
      <c r="E34" s="172">
        <f>E33*(1+(1-Schedules!$M$88)*(C44))</f>
        <v>1.269446885181811</v>
      </c>
      <c r="H34" s="41" t="s">
        <v>284</v>
      </c>
      <c r="L34" s="179">
        <v>0</v>
      </c>
    </row>
    <row r="35" spans="2:12" ht="16.2" thickBot="1" x14ac:dyDescent="0.35">
      <c r="B35" s="104" t="s">
        <v>276</v>
      </c>
      <c r="C35" s="104"/>
      <c r="D35" s="104"/>
      <c r="E35" s="175">
        <f>E32*E34</f>
        <v>5.6617331079108775E-2</v>
      </c>
      <c r="H35" s="103" t="s">
        <v>254</v>
      </c>
      <c r="I35" s="103"/>
      <c r="J35" s="103"/>
      <c r="K35" s="103"/>
      <c r="L35" s="178">
        <f>SUM(L32:L34)</f>
        <v>0.10031733107910878</v>
      </c>
    </row>
    <row r="36" spans="2:12" ht="16.2" thickTop="1" x14ac:dyDescent="0.3"/>
    <row r="37" spans="2:12" x14ac:dyDescent="0.3">
      <c r="B37" s="73" t="s">
        <v>277</v>
      </c>
      <c r="C37" s="73"/>
      <c r="D37" s="73"/>
      <c r="E37" s="73"/>
      <c r="F37" s="47"/>
    </row>
    <row r="38" spans="2:12" x14ac:dyDescent="0.3">
      <c r="B38" s="50"/>
      <c r="C38" s="50"/>
      <c r="D38" s="50"/>
      <c r="E38" s="50"/>
    </row>
    <row r="39" spans="2:12" x14ac:dyDescent="0.3">
      <c r="E39" s="91" t="s">
        <v>280</v>
      </c>
      <c r="F39" s="91" t="s">
        <v>281</v>
      </c>
    </row>
    <row r="40" spans="2:12" x14ac:dyDescent="0.3">
      <c r="B40" s="41" t="s">
        <v>216</v>
      </c>
      <c r="D40" s="101">
        <v>98657</v>
      </c>
      <c r="E40" s="182">
        <f>D40/D42</f>
        <v>2.3220749521554694E-2</v>
      </c>
      <c r="F40" s="183">
        <v>0</v>
      </c>
    </row>
    <row r="41" spans="2:12" x14ac:dyDescent="0.3">
      <c r="B41" s="41" t="s">
        <v>278</v>
      </c>
      <c r="D41" s="101">
        <v>4150000</v>
      </c>
      <c r="E41" s="182">
        <f>D41/D42</f>
        <v>0.97677925047844527</v>
      </c>
      <c r="F41" s="183">
        <v>1</v>
      </c>
    </row>
    <row r="42" spans="2:12" ht="16.2" thickBot="1" x14ac:dyDescent="0.35">
      <c r="B42" s="104" t="s">
        <v>279</v>
      </c>
      <c r="C42" s="104"/>
      <c r="D42" s="102">
        <f>SUM(D40:D41)</f>
        <v>4248657</v>
      </c>
      <c r="E42" s="184">
        <f>SUM(E40:E41)</f>
        <v>1</v>
      </c>
      <c r="F42" s="184">
        <f>SUM(F40:F41)</f>
        <v>1</v>
      </c>
    </row>
    <row r="43" spans="2:12" ht="16.2" thickTop="1" x14ac:dyDescent="0.3"/>
    <row r="44" spans="2:12" x14ac:dyDescent="0.3">
      <c r="B44" s="149" t="s">
        <v>282</v>
      </c>
      <c r="C44" s="176">
        <f>F40/F41</f>
        <v>0</v>
      </c>
      <c r="D44" s="174"/>
    </row>
    <row r="47" spans="2:12" x14ac:dyDescent="0.3">
      <c r="B47" s="73" t="s">
        <v>285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50" spans="2:6" x14ac:dyDescent="0.3">
      <c r="E50" s="91" t="s">
        <v>288</v>
      </c>
      <c r="F50" s="91" t="s">
        <v>289</v>
      </c>
    </row>
    <row r="51" spans="2:6" x14ac:dyDescent="0.3">
      <c r="B51" s="41" t="s">
        <v>286</v>
      </c>
      <c r="E51" s="180">
        <f>F40</f>
        <v>0</v>
      </c>
      <c r="F51" s="180">
        <f>E15</f>
        <v>3.32E-2</v>
      </c>
    </row>
    <row r="52" spans="2:6" x14ac:dyDescent="0.3">
      <c r="E52" s="88"/>
      <c r="F52" s="88"/>
    </row>
    <row r="53" spans="2:6" x14ac:dyDescent="0.3">
      <c r="B53" s="41" t="s">
        <v>287</v>
      </c>
      <c r="E53" s="180">
        <f>F41</f>
        <v>1</v>
      </c>
      <c r="F53" s="181">
        <f>L35</f>
        <v>0.10031733107910878</v>
      </c>
    </row>
    <row r="55" spans="2:6" ht="16.2" thickBot="1" x14ac:dyDescent="0.35">
      <c r="B55" s="103" t="s">
        <v>290</v>
      </c>
      <c r="C55" s="103"/>
      <c r="D55" s="103"/>
      <c r="E55" s="103"/>
      <c r="F55" s="185">
        <f>SUMPRODUCT(E51:E53,F51:F53)</f>
        <v>0.10031733107910878</v>
      </c>
    </row>
    <row r="56" spans="2:6" ht="16.2" thickTop="1" x14ac:dyDescent="0.3"/>
  </sheetData>
  <mergeCells count="8">
    <mergeCell ref="B27:E27"/>
    <mergeCell ref="B28:E28"/>
    <mergeCell ref="B20:D20"/>
    <mergeCell ref="B21:D21"/>
    <mergeCell ref="B22:D22"/>
    <mergeCell ref="B23:D23"/>
    <mergeCell ref="B24:D24"/>
    <mergeCell ref="B25:D25"/>
  </mergeCells>
  <printOptions horizontalCentered="1"/>
  <pageMargins left="0.7" right="0.7" top="0.75" bottom="0.75" header="0.3" footer="0.3"/>
  <pageSetup fitToHeight="0" orientation="landscape" r:id="rId1"/>
  <headerFooter>
    <oddFooter>&amp;LApple Inc. — DCF Valuation&amp;C&amp;A&amp;RPage 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94C9-A5F6-4907-9981-B4C6890065D6}">
  <sheetPr>
    <tabColor rgb="FF002060"/>
    <pageSetUpPr fitToPage="1"/>
  </sheetPr>
  <dimension ref="B3:N62"/>
  <sheetViews>
    <sheetView showGridLines="0" topLeftCell="A36" workbookViewId="0">
      <selection activeCell="E58" sqref="E58"/>
    </sheetView>
  </sheetViews>
  <sheetFormatPr defaultRowHeight="15.6" x14ac:dyDescent="0.3"/>
  <cols>
    <col min="1" max="4" width="8.88671875" style="41"/>
    <col min="5" max="5" width="9.77734375" style="41" bestFit="1" customWidth="1"/>
    <col min="6" max="6" width="20" style="41" customWidth="1"/>
    <col min="7" max="7" width="11.44140625" style="41" bestFit="1" customWidth="1"/>
    <col min="8" max="12" width="11.44140625" style="41" customWidth="1"/>
    <col min="13" max="13" width="14.6640625" style="41" bestFit="1" customWidth="1"/>
    <col min="14" max="16384" width="8.88671875" style="41"/>
  </cols>
  <sheetData>
    <row r="3" spans="2:14" ht="20.399999999999999" x14ac:dyDescent="0.35">
      <c r="B3" s="44" t="s">
        <v>291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60"/>
    </row>
    <row r="4" spans="2:14" x14ac:dyDescent="0.3">
      <c r="B4" s="239" t="s">
        <v>332</v>
      </c>
      <c r="M4" s="48"/>
    </row>
    <row r="5" spans="2:14" x14ac:dyDescent="0.3">
      <c r="B5" s="73" t="s">
        <v>2</v>
      </c>
      <c r="C5" s="47"/>
      <c r="D5" s="47"/>
      <c r="E5" s="47"/>
      <c r="F5" s="47"/>
      <c r="G5" s="22"/>
      <c r="H5" s="22" t="s">
        <v>13</v>
      </c>
      <c r="I5" s="22" t="s">
        <v>14</v>
      </c>
      <c r="J5" s="22" t="s">
        <v>15</v>
      </c>
      <c r="K5" s="22" t="s">
        <v>16</v>
      </c>
      <c r="L5" s="22" t="s">
        <v>17</v>
      </c>
      <c r="M5" s="23" t="s">
        <v>18</v>
      </c>
    </row>
    <row r="6" spans="2:14" x14ac:dyDescent="0.3">
      <c r="M6" s="48"/>
    </row>
    <row r="7" spans="2:14" x14ac:dyDescent="0.3">
      <c r="B7" s="41" t="s">
        <v>292</v>
      </c>
      <c r="H7" s="77">
        <f ca="1">'Financial Statements'!Q57</f>
        <v>126752.75411878113</v>
      </c>
      <c r="I7" s="77">
        <f ca="1">'Financial Statements'!R57</f>
        <v>131685.74512360085</v>
      </c>
      <c r="J7" s="77">
        <f ca="1">'Financial Statements'!S57</f>
        <v>136894.84694115186</v>
      </c>
      <c r="K7" s="77">
        <f ca="1">'Financial Statements'!T57</f>
        <v>141402.67945071158</v>
      </c>
      <c r="L7" s="77">
        <f ca="1">'Financial Statements'!U57</f>
        <v>148332.96099049295</v>
      </c>
      <c r="M7" s="107">
        <f ca="1">'Financial Statements'!V57</f>
        <v>152750.20535219024</v>
      </c>
    </row>
    <row r="8" spans="2:14" x14ac:dyDescent="0.3">
      <c r="B8" s="41" t="s">
        <v>31</v>
      </c>
      <c r="H8" s="77">
        <f>Schedules!H56</f>
        <v>12353.453575</v>
      </c>
      <c r="I8" s="77">
        <f>Schedules!I56</f>
        <v>13688.940234062498</v>
      </c>
      <c r="J8" s="77">
        <f>Schedules!J56</f>
        <v>15074.507642839842</v>
      </c>
      <c r="K8" s="77">
        <f>Schedules!K56</f>
        <v>16506.742322010978</v>
      </c>
      <c r="L8" s="77">
        <f>Schedules!L56</f>
        <v>17992.844546874087</v>
      </c>
      <c r="M8" s="107">
        <f>L8</f>
        <v>17992.844546874087</v>
      </c>
    </row>
    <row r="9" spans="2:14" x14ac:dyDescent="0.3">
      <c r="B9" s="41" t="s">
        <v>201</v>
      </c>
      <c r="H9" s="77">
        <f ca="1">'Financial Statements'!Q83</f>
        <v>166.71246856197467</v>
      </c>
      <c r="I9" s="77">
        <f ca="1">'Financial Statements'!R83</f>
        <v>-59.120830692892923</v>
      </c>
      <c r="J9" s="77">
        <f ca="1">'Financial Statements'!S83</f>
        <v>-264.92899167247015</v>
      </c>
      <c r="K9" s="77">
        <f ca="1">'Financial Statements'!T83</f>
        <v>-461.80792882636524</v>
      </c>
      <c r="L9" s="77">
        <f ca="1">'Financial Statements'!U83</f>
        <v>-652.55323507196954</v>
      </c>
      <c r="M9" s="107">
        <f ca="1">'Financial Statements'!V83</f>
        <v>-581.8296376372964</v>
      </c>
    </row>
    <row r="10" spans="2:14" x14ac:dyDescent="0.3">
      <c r="B10" s="41" t="s">
        <v>293</v>
      </c>
      <c r="H10" s="77">
        <f>'Financial Statements'!Q85</f>
        <v>12206.673451678467</v>
      </c>
      <c r="I10" s="77">
        <f>'Financial Statements'!R85</f>
        <v>12778.838366992022</v>
      </c>
      <c r="J10" s="77">
        <f>'Financial Statements'!S85</f>
        <v>13372.459466629833</v>
      </c>
      <c r="K10" s="77">
        <f>'Financial Statements'!T85</f>
        <v>13865.164979329216</v>
      </c>
      <c r="L10" s="77">
        <f>'Financial Statements'!U85</f>
        <v>14626.394996449762</v>
      </c>
      <c r="M10" s="107">
        <f>'Financial Statements'!V85</f>
        <v>15068.331311944745</v>
      </c>
    </row>
    <row r="11" spans="2:14" x14ac:dyDescent="0.3">
      <c r="B11" s="41" t="s">
        <v>295</v>
      </c>
      <c r="H11" s="77">
        <f>'Financial Statements'!Q99</f>
        <v>22337.220096544559</v>
      </c>
      <c r="I11" s="77">
        <f>'Financial Statements'!R99</f>
        <v>6973.3255012793543</v>
      </c>
      <c r="J11" s="77">
        <f>'Financial Statements'!S99</f>
        <v>7234.8252075773607</v>
      </c>
      <c r="K11" s="77">
        <f>'Financial Statements'!T99</f>
        <v>6004.9049222891899</v>
      </c>
      <c r="L11" s="77">
        <f>'Financial Statements'!U99</f>
        <v>9277.578104936747</v>
      </c>
      <c r="M11" s="107">
        <f>'Financial Statements'!V99</f>
        <v>5386.1495109216085</v>
      </c>
    </row>
    <row r="12" spans="2:14" x14ac:dyDescent="0.3">
      <c r="B12" s="41" t="s">
        <v>118</v>
      </c>
      <c r="H12" s="77">
        <f>'Financial Statements'!Q105</f>
        <v>-13109.0715</v>
      </c>
      <c r="I12" s="77">
        <f>'Financial Statements'!R105</f>
        <v>-13600.661681250001</v>
      </c>
      <c r="J12" s="77">
        <f>'Financial Statements'!S105</f>
        <v>-14110.686494296877</v>
      </c>
      <c r="K12" s="77">
        <f>'Financial Statements'!T105</f>
        <v>-14534.007089125784</v>
      </c>
      <c r="L12" s="77">
        <f>'Financial Statements'!U105</f>
        <v>-15188.037408136444</v>
      </c>
      <c r="M12" s="107">
        <f>'Financial Statements'!V105</f>
        <v>-15567.738343339854</v>
      </c>
    </row>
    <row r="13" spans="2:14" x14ac:dyDescent="0.3">
      <c r="B13" s="41" t="s">
        <v>358</v>
      </c>
      <c r="H13" s="77">
        <f ca="1">-('Financial Statements'!Q41+'Financial Statements'!Q39)*(1-Schedules!$M$88)</f>
        <v>369.10434996888722</v>
      </c>
      <c r="I13" s="77">
        <f ca="1">-('Financial Statements'!R41+'Financial Statements'!R39)*(1-Schedules!$M$88)</f>
        <v>-76.94196227268651</v>
      </c>
      <c r="J13" s="77">
        <f ca="1">-('Financial Statements'!S41+'Financial Statements'!S39)*(1-Schedules!$M$88)</f>
        <v>-621.50116127390447</v>
      </c>
      <c r="K13" s="77">
        <f ca="1">-('Financial Statements'!T41+'Financial Statements'!T39)*(1-Schedules!$M$88)</f>
        <v>-1217.0932974373163</v>
      </c>
      <c r="L13" s="77">
        <f ca="1">-('Financial Statements'!U41+'Financial Statements'!U39)*(1-Schedules!$M$88)</f>
        <v>-2012.4934603213267</v>
      </c>
      <c r="M13" s="107">
        <f ca="1">-('Financial Statements'!V41+'Financial Statements'!V39)*(1-Schedules!$M$88)</f>
        <v>-2771.7261337643231</v>
      </c>
    </row>
    <row r="14" spans="2:14" x14ac:dyDescent="0.3">
      <c r="H14" s="77"/>
      <c r="I14" s="77"/>
      <c r="J14" s="77"/>
      <c r="K14" s="77"/>
      <c r="L14" s="77"/>
      <c r="M14" s="107"/>
    </row>
    <row r="15" spans="2:14" ht="16.2" thickBot="1" x14ac:dyDescent="0.35">
      <c r="B15" s="103" t="s">
        <v>294</v>
      </c>
      <c r="C15" s="103"/>
      <c r="D15" s="103"/>
      <c r="E15" s="103"/>
      <c r="F15" s="103"/>
      <c r="G15" s="103"/>
      <c r="H15" s="186">
        <f ca="1">SUM(H7:H13)</f>
        <v>161076.84656053505</v>
      </c>
      <c r="I15" s="186">
        <f t="shared" ref="I15:M15" ca="1" si="0">SUM(I7:I13)</f>
        <v>151390.12475171912</v>
      </c>
      <c r="J15" s="186">
        <f t="shared" ca="1" si="0"/>
        <v>157579.52261095561</v>
      </c>
      <c r="K15" s="186">
        <f t="shared" ca="1" si="0"/>
        <v>161566.5833589515</v>
      </c>
      <c r="L15" s="186">
        <f t="shared" ca="1" si="0"/>
        <v>172376.6945352238</v>
      </c>
      <c r="M15" s="187">
        <f t="shared" ca="1" si="0"/>
        <v>172276.23660718923</v>
      </c>
    </row>
    <row r="16" spans="2:14" ht="16.2" thickTop="1" x14ac:dyDescent="0.3"/>
    <row r="18" spans="2:14" ht="20.399999999999999" x14ac:dyDescent="0.35">
      <c r="B18" s="147" t="s">
        <v>296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240"/>
    </row>
    <row r="19" spans="2:14" x14ac:dyDescent="0.3">
      <c r="B19" s="239" t="s">
        <v>332</v>
      </c>
    </row>
    <row r="20" spans="2:14" x14ac:dyDescent="0.3">
      <c r="G20" s="202" t="s">
        <v>313</v>
      </c>
      <c r="H20" s="291" t="s">
        <v>300</v>
      </c>
      <c r="I20" s="291"/>
      <c r="J20" s="291"/>
      <c r="K20" s="291"/>
      <c r="L20" s="291"/>
      <c r="M20" s="206" t="s">
        <v>301</v>
      </c>
    </row>
    <row r="21" spans="2:14" x14ac:dyDescent="0.3">
      <c r="B21" s="78" t="s">
        <v>297</v>
      </c>
      <c r="C21" s="79"/>
      <c r="D21" s="79"/>
      <c r="E21" s="217">
        <f>Output!L8</f>
        <v>20</v>
      </c>
      <c r="G21" s="203" t="s">
        <v>316</v>
      </c>
      <c r="H21" s="292" t="s">
        <v>316</v>
      </c>
      <c r="I21" s="292"/>
      <c r="J21" s="292"/>
      <c r="K21" s="292"/>
      <c r="L21" s="292"/>
      <c r="M21" s="207" t="s">
        <v>316</v>
      </c>
    </row>
    <row r="22" spans="2:14" x14ac:dyDescent="0.3">
      <c r="B22" s="48" t="s">
        <v>298</v>
      </c>
      <c r="E22" s="197">
        <f>Output!L9</f>
        <v>0.10031733107910878</v>
      </c>
      <c r="F22" s="199" t="s">
        <v>317</v>
      </c>
      <c r="G22" s="204">
        <v>46022</v>
      </c>
      <c r="H22" s="200">
        <v>46387</v>
      </c>
      <c r="I22" s="200">
        <v>46752</v>
      </c>
      <c r="J22" s="200">
        <v>47118</v>
      </c>
      <c r="K22" s="200">
        <v>47483</v>
      </c>
      <c r="L22" s="200">
        <v>47848</v>
      </c>
      <c r="M22" s="208">
        <v>48213</v>
      </c>
    </row>
    <row r="23" spans="2:14" x14ac:dyDescent="0.3">
      <c r="B23" s="81" t="s">
        <v>299</v>
      </c>
      <c r="C23" s="82"/>
      <c r="D23" s="82"/>
      <c r="E23" s="195">
        <v>0.5</v>
      </c>
      <c r="F23" s="199" t="s">
        <v>302</v>
      </c>
      <c r="G23" s="205">
        <v>45838</v>
      </c>
      <c r="H23" s="201">
        <v>46203</v>
      </c>
      <c r="I23" s="201">
        <v>46568</v>
      </c>
      <c r="J23" s="201">
        <v>46934</v>
      </c>
      <c r="K23" s="201">
        <v>47299</v>
      </c>
      <c r="L23" s="201">
        <v>47664</v>
      </c>
      <c r="M23" s="209">
        <v>48029</v>
      </c>
    </row>
    <row r="24" spans="2:14" x14ac:dyDescent="0.3">
      <c r="E24" s="156"/>
      <c r="M24" s="241"/>
    </row>
    <row r="25" spans="2:14" x14ac:dyDescent="0.3">
      <c r="M25" s="48"/>
    </row>
    <row r="26" spans="2:14" x14ac:dyDescent="0.3">
      <c r="B26" s="73" t="s">
        <v>2</v>
      </c>
      <c r="C26" s="47"/>
      <c r="D26" s="47"/>
      <c r="E26" s="47"/>
      <c r="F26" s="47"/>
      <c r="G26" s="22"/>
      <c r="H26" s="22" t="s">
        <v>13</v>
      </c>
      <c r="I26" s="22" t="s">
        <v>14</v>
      </c>
      <c r="J26" s="22" t="s">
        <v>15</v>
      </c>
      <c r="K26" s="22" t="s">
        <v>16</v>
      </c>
      <c r="L26" s="22" t="s">
        <v>17</v>
      </c>
      <c r="M26" s="23" t="s">
        <v>18</v>
      </c>
    </row>
    <row r="27" spans="2:14" x14ac:dyDescent="0.3">
      <c r="B27" s="50"/>
      <c r="G27" s="196"/>
      <c r="H27" s="196"/>
      <c r="I27" s="196"/>
      <c r="J27" s="196"/>
      <c r="K27" s="196"/>
      <c r="L27" s="196"/>
      <c r="M27" s="242"/>
    </row>
    <row r="28" spans="2:14" x14ac:dyDescent="0.3">
      <c r="B28" s="41" t="s">
        <v>303</v>
      </c>
      <c r="H28" s="77">
        <f ca="1">H15</f>
        <v>161076.84656053505</v>
      </c>
      <c r="I28" s="77">
        <f t="shared" ref="I28:M28" ca="1" si="1">I15</f>
        <v>151390.12475171912</v>
      </c>
      <c r="J28" s="77">
        <f t="shared" ca="1" si="1"/>
        <v>157579.52261095561</v>
      </c>
      <c r="K28" s="77">
        <f t="shared" ca="1" si="1"/>
        <v>161566.5833589515</v>
      </c>
      <c r="L28" s="77">
        <f t="shared" ca="1" si="1"/>
        <v>172376.6945352238</v>
      </c>
      <c r="M28" s="107">
        <f t="shared" ca="1" si="1"/>
        <v>172276.23660718923</v>
      </c>
    </row>
    <row r="29" spans="2:14" x14ac:dyDescent="0.3">
      <c r="B29" s="41" t="s">
        <v>29</v>
      </c>
      <c r="H29" s="77"/>
      <c r="I29" s="77"/>
      <c r="J29" s="77"/>
      <c r="K29" s="77"/>
      <c r="L29" s="77"/>
      <c r="M29" s="107">
        <f>'Financial Statements'!V27</f>
        <v>198689.80746064024</v>
      </c>
    </row>
    <row r="30" spans="2:14" x14ac:dyDescent="0.3">
      <c r="M30" s="48"/>
    </row>
    <row r="31" spans="2:14" x14ac:dyDescent="0.3">
      <c r="B31" s="50" t="s">
        <v>314</v>
      </c>
      <c r="M31" s="48"/>
    </row>
    <row r="32" spans="2:14" x14ac:dyDescent="0.3">
      <c r="B32" s="50"/>
      <c r="M32" s="48"/>
    </row>
    <row r="33" spans="2:13" x14ac:dyDescent="0.3">
      <c r="B33" s="41" t="s">
        <v>300</v>
      </c>
      <c r="H33" s="77">
        <f ca="1">H28</f>
        <v>161076.84656053505</v>
      </c>
      <c r="I33" s="77">
        <f t="shared" ref="I33:M33" ca="1" si="2">I28</f>
        <v>151390.12475171912</v>
      </c>
      <c r="J33" s="77">
        <f t="shared" ca="1" si="2"/>
        <v>157579.52261095561</v>
      </c>
      <c r="K33" s="77">
        <f t="shared" ca="1" si="2"/>
        <v>161566.5833589515</v>
      </c>
      <c r="L33" s="77">
        <f t="shared" ca="1" si="2"/>
        <v>172376.6945352238</v>
      </c>
      <c r="M33" s="107">
        <f t="shared" ca="1" si="2"/>
        <v>172276.23660718923</v>
      </c>
    </row>
    <row r="34" spans="2:13" x14ac:dyDescent="0.3">
      <c r="B34" s="41" t="s">
        <v>304</v>
      </c>
      <c r="H34" s="77"/>
      <c r="I34" s="77"/>
      <c r="J34" s="77"/>
      <c r="K34" s="77"/>
      <c r="L34" s="77"/>
      <c r="M34" s="107">
        <f>(M29*E21)/(1+E22)^E23</f>
        <v>3788319.5724487742</v>
      </c>
    </row>
    <row r="35" spans="2:13" x14ac:dyDescent="0.3">
      <c r="B35" s="193" t="s">
        <v>305</v>
      </c>
      <c r="C35" s="144"/>
      <c r="D35" s="144"/>
      <c r="E35" s="144"/>
      <c r="F35" s="144"/>
      <c r="G35" s="144"/>
      <c r="H35" s="194">
        <f ca="1">SUM(H33:H34)</f>
        <v>161076.84656053505</v>
      </c>
      <c r="I35" s="194">
        <f t="shared" ref="I35:M35" ca="1" si="3">SUM(I33:I34)</f>
        <v>151390.12475171912</v>
      </c>
      <c r="J35" s="194">
        <f t="shared" ca="1" si="3"/>
        <v>157579.52261095561</v>
      </c>
      <c r="K35" s="194">
        <f t="shared" ca="1" si="3"/>
        <v>161566.5833589515</v>
      </c>
      <c r="L35" s="194">
        <f t="shared" ca="1" si="3"/>
        <v>172376.6945352238</v>
      </c>
      <c r="M35" s="243">
        <f t="shared" ca="1" si="3"/>
        <v>3960595.8090559635</v>
      </c>
    </row>
    <row r="36" spans="2:13" x14ac:dyDescent="0.3">
      <c r="M36" s="48"/>
    </row>
    <row r="37" spans="2:13" x14ac:dyDescent="0.3">
      <c r="B37" s="50" t="s">
        <v>315</v>
      </c>
      <c r="M37" s="48"/>
    </row>
    <row r="38" spans="2:13" x14ac:dyDescent="0.3">
      <c r="B38" s="50"/>
      <c r="M38" s="48"/>
    </row>
    <row r="39" spans="2:13" x14ac:dyDescent="0.3">
      <c r="B39" s="41" t="s">
        <v>306</v>
      </c>
      <c r="H39" s="174">
        <f t="shared" ref="H39:I39" si="4">YEARFRAC(G23,H23)</f>
        <v>1</v>
      </c>
      <c r="I39" s="174">
        <f t="shared" si="4"/>
        <v>1</v>
      </c>
      <c r="J39" s="174">
        <f t="shared" ref="I39:M39" si="5">YEARFRAC(I23,J23)</f>
        <v>1</v>
      </c>
      <c r="K39" s="174">
        <f t="shared" si="5"/>
        <v>1</v>
      </c>
      <c r="L39" s="174">
        <f t="shared" si="5"/>
        <v>1</v>
      </c>
      <c r="M39" s="244">
        <f t="shared" si="5"/>
        <v>1</v>
      </c>
    </row>
    <row r="40" spans="2:13" x14ac:dyDescent="0.3">
      <c r="H40" s="174"/>
      <c r="I40" s="174"/>
      <c r="J40" s="174"/>
      <c r="K40" s="174"/>
      <c r="L40" s="174"/>
      <c r="M40" s="244"/>
    </row>
    <row r="41" spans="2:13" x14ac:dyDescent="0.3">
      <c r="B41" s="41" t="s">
        <v>300</v>
      </c>
      <c r="H41" s="77">
        <f ca="1">H33*H$39</f>
        <v>161076.84656053505</v>
      </c>
      <c r="I41" s="77">
        <f t="shared" ref="I41:L41" ca="1" si="6">I33*I$39</f>
        <v>151390.12475171912</v>
      </c>
      <c r="J41" s="77">
        <f t="shared" ca="1" si="6"/>
        <v>157579.52261095561</v>
      </c>
      <c r="K41" s="77">
        <f t="shared" ca="1" si="6"/>
        <v>161566.5833589515</v>
      </c>
      <c r="L41" s="77">
        <f t="shared" ca="1" si="6"/>
        <v>172376.6945352238</v>
      </c>
      <c r="M41" s="107">
        <f t="shared" ref="M41" ca="1" si="7">M33*M$39</f>
        <v>172276.23660718923</v>
      </c>
    </row>
    <row r="42" spans="2:13" x14ac:dyDescent="0.3">
      <c r="B42" s="41" t="s">
        <v>304</v>
      </c>
      <c r="H42" s="77"/>
      <c r="I42" s="77"/>
      <c r="J42" s="77"/>
      <c r="K42" s="77"/>
      <c r="L42" s="77"/>
      <c r="M42" s="107">
        <f>M34*M$39</f>
        <v>3788319.5724487742</v>
      </c>
    </row>
    <row r="43" spans="2:13" x14ac:dyDescent="0.3">
      <c r="B43" s="193" t="s">
        <v>305</v>
      </c>
      <c r="C43" s="144"/>
      <c r="D43" s="144"/>
      <c r="E43" s="144"/>
      <c r="F43" s="144"/>
      <c r="G43" s="194">
        <v>0</v>
      </c>
      <c r="H43" s="194">
        <f ca="1">SUM(H41:H42)</f>
        <v>161076.84656053505</v>
      </c>
      <c r="I43" s="194">
        <f t="shared" ref="I43:M43" ca="1" si="8">SUM(I41:I42)</f>
        <v>151390.12475171912</v>
      </c>
      <c r="J43" s="194">
        <f t="shared" ca="1" si="8"/>
        <v>157579.52261095561</v>
      </c>
      <c r="K43" s="194">
        <f t="shared" ca="1" si="8"/>
        <v>161566.5833589515</v>
      </c>
      <c r="L43" s="194">
        <f t="shared" ca="1" si="8"/>
        <v>172376.6945352238</v>
      </c>
      <c r="M43" s="243">
        <f t="shared" ca="1" si="8"/>
        <v>3960595.8090559635</v>
      </c>
    </row>
    <row r="44" spans="2:13" x14ac:dyDescent="0.3">
      <c r="M44" s="48"/>
    </row>
    <row r="45" spans="2:13" x14ac:dyDescent="0.3">
      <c r="B45" s="50" t="s">
        <v>318</v>
      </c>
      <c r="M45" s="48"/>
    </row>
    <row r="46" spans="2:13" x14ac:dyDescent="0.3">
      <c r="B46" s="50"/>
      <c r="M46" s="48"/>
    </row>
    <row r="47" spans="2:13" x14ac:dyDescent="0.3">
      <c r="B47" s="41" t="s">
        <v>307</v>
      </c>
      <c r="H47" s="172">
        <f>G47+YEARFRAC(G23,H23)</f>
        <v>1</v>
      </c>
      <c r="I47" s="172">
        <f t="shared" ref="I47:M47" si="9">H47+YEARFRAC(H23,I23)</f>
        <v>2</v>
      </c>
      <c r="J47" s="172">
        <f t="shared" si="9"/>
        <v>3</v>
      </c>
      <c r="K47" s="172">
        <f t="shared" si="9"/>
        <v>4</v>
      </c>
      <c r="L47" s="172">
        <f t="shared" si="9"/>
        <v>5</v>
      </c>
      <c r="M47" s="245">
        <f t="shared" si="9"/>
        <v>6</v>
      </c>
    </row>
    <row r="48" spans="2:13" x14ac:dyDescent="0.3">
      <c r="H48" s="172"/>
      <c r="I48" s="172"/>
      <c r="J48" s="172"/>
      <c r="K48" s="172"/>
      <c r="L48" s="172"/>
      <c r="M48" s="245"/>
    </row>
    <row r="49" spans="2:13" x14ac:dyDescent="0.3">
      <c r="B49" s="41" t="s">
        <v>300</v>
      </c>
      <c r="H49" s="77">
        <f ca="1">H41/(1+$E$22)^H$47</f>
        <v>146391.26551116208</v>
      </c>
      <c r="I49" s="77">
        <f t="shared" ref="I49:L49" ca="1" si="10">I41/(1+$E$22)^I$47</f>
        <v>125043.64928957396</v>
      </c>
      <c r="J49" s="77">
        <f t="shared" ca="1" si="10"/>
        <v>118289.42472773285</v>
      </c>
      <c r="K49" s="77">
        <f t="shared" ca="1" si="10"/>
        <v>110224.90336724832</v>
      </c>
      <c r="L49" s="77">
        <f t="shared" ca="1" si="10"/>
        <v>106878.11377608887</v>
      </c>
      <c r="M49" s="107">
        <f t="shared" ref="M49:M50" ca="1" si="11">M41/(1+$E$22)^M$47</f>
        <v>97077.292326772062</v>
      </c>
    </row>
    <row r="50" spans="2:13" x14ac:dyDescent="0.3">
      <c r="B50" s="41" t="s">
        <v>304</v>
      </c>
      <c r="H50" s="77"/>
      <c r="I50" s="77"/>
      <c r="J50" s="77"/>
      <c r="K50" s="77"/>
      <c r="L50" s="77"/>
      <c r="M50" s="107">
        <f t="shared" si="11"/>
        <v>2134710.0087888436</v>
      </c>
    </row>
    <row r="51" spans="2:13" ht="16.2" thickBot="1" x14ac:dyDescent="0.35">
      <c r="B51" s="103" t="s">
        <v>305</v>
      </c>
      <c r="C51" s="104"/>
      <c r="D51" s="104"/>
      <c r="E51" s="104"/>
      <c r="F51" s="104"/>
      <c r="G51" s="104"/>
      <c r="H51" s="102">
        <f ca="1">SUM(H49:H50)</f>
        <v>146391.26551116208</v>
      </c>
      <c r="I51" s="102">
        <f t="shared" ref="I51:M51" ca="1" si="12">SUM(I49:I50)</f>
        <v>125043.64928957396</v>
      </c>
      <c r="J51" s="102">
        <f t="shared" ca="1" si="12"/>
        <v>118289.42472773285</v>
      </c>
      <c r="K51" s="102">
        <f t="shared" ca="1" si="12"/>
        <v>110224.90336724832</v>
      </c>
      <c r="L51" s="102">
        <f t="shared" ca="1" si="12"/>
        <v>106878.11377608887</v>
      </c>
      <c r="M51" s="108">
        <f t="shared" ca="1" si="12"/>
        <v>2231787.3011156158</v>
      </c>
    </row>
    <row r="52" spans="2:13" ht="16.2" thickTop="1" x14ac:dyDescent="0.3"/>
    <row r="53" spans="2:13" x14ac:dyDescent="0.3">
      <c r="B53" s="149" t="s">
        <v>308</v>
      </c>
      <c r="C53" s="114"/>
      <c r="D53" s="114"/>
      <c r="E53" s="246">
        <f ca="1">XNPV(E22,G43:M43,G23:M23)</f>
        <v>2837942.3654400897</v>
      </c>
    </row>
    <row r="54" spans="2:13" x14ac:dyDescent="0.3">
      <c r="E54" s="77"/>
    </row>
    <row r="55" spans="2:13" x14ac:dyDescent="0.3">
      <c r="B55" s="73" t="s">
        <v>310</v>
      </c>
      <c r="C55" s="47"/>
      <c r="D55" s="47"/>
      <c r="E55" s="47"/>
      <c r="H55" s="73" t="s">
        <v>319</v>
      </c>
      <c r="I55" s="47"/>
      <c r="J55" s="47"/>
      <c r="K55" s="47"/>
      <c r="L55" s="47"/>
      <c r="M55" s="47"/>
    </row>
    <row r="56" spans="2:13" x14ac:dyDescent="0.3">
      <c r="B56" s="50"/>
      <c r="H56" s="50"/>
    </row>
    <row r="57" spans="2:13" x14ac:dyDescent="0.3">
      <c r="B57" s="41" t="s">
        <v>308</v>
      </c>
      <c r="E57" s="77">
        <f ca="1">E53</f>
        <v>2837942.3654400897</v>
      </c>
      <c r="H57" s="41" t="s">
        <v>310</v>
      </c>
      <c r="M57" s="77">
        <f ca="1">E59</f>
        <v>2871705.3654370201</v>
      </c>
    </row>
    <row r="58" spans="2:13" x14ac:dyDescent="0.3">
      <c r="B58" s="41" t="s">
        <v>309</v>
      </c>
      <c r="E58" s="77">
        <f>Output!L10</f>
        <v>-33763</v>
      </c>
      <c r="H58" s="41" t="s">
        <v>311</v>
      </c>
      <c r="M58" s="190">
        <f>Output!L11</f>
        <v>14948</v>
      </c>
    </row>
    <row r="59" spans="2:13" ht="16.2" thickBot="1" x14ac:dyDescent="0.35">
      <c r="B59" s="103" t="s">
        <v>310</v>
      </c>
      <c r="C59" s="104"/>
      <c r="D59" s="104"/>
      <c r="E59" s="102">
        <f ca="1">E57-E58</f>
        <v>2871705.3654400897</v>
      </c>
      <c r="H59" s="103" t="s">
        <v>312</v>
      </c>
      <c r="I59" s="104"/>
      <c r="J59" s="104"/>
      <c r="K59" s="104"/>
      <c r="L59" s="104"/>
      <c r="M59" s="247">
        <f ca="1">M57/M58</f>
        <v>192.11301615179423</v>
      </c>
    </row>
    <row r="60" spans="2:13" ht="16.2" thickTop="1" x14ac:dyDescent="0.3"/>
    <row r="61" spans="2:13" x14ac:dyDescent="0.3">
      <c r="B61" s="188"/>
    </row>
    <row r="62" spans="2:13" x14ac:dyDescent="0.3">
      <c r="B62" s="188"/>
    </row>
  </sheetData>
  <mergeCells count="2">
    <mergeCell ref="H20:L20"/>
    <mergeCell ref="H21:L21"/>
  </mergeCells>
  <printOptions horizontalCentered="1"/>
  <pageMargins left="0.7" right="0.7" top="0.75" bottom="0.75" header="0.3" footer="0.3"/>
  <pageSetup scale="87" fitToHeight="0" orientation="landscape" r:id="rId1"/>
  <headerFooter>
    <oddFooter>&amp;LApple Inc. — DCF Valuation&amp;C&amp;A&amp;RPage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Cover</vt:lpstr>
      <vt:lpstr>Output</vt:lpstr>
      <vt:lpstr>Key Drivers</vt:lpstr>
      <vt:lpstr>Financial Statements</vt:lpstr>
      <vt:lpstr>Schedules</vt:lpstr>
      <vt:lpstr>WACC</vt:lpstr>
      <vt:lpstr>Model</vt:lpstr>
      <vt:lpstr>CircularitySwitch</vt:lpstr>
      <vt:lpstr>Cover!Print_Area</vt:lpstr>
      <vt:lpstr>'Financial Statements'!Print_Area</vt:lpstr>
      <vt:lpstr>'Key Drivers'!Print_Area</vt:lpstr>
      <vt:lpstr>Model!Print_Area</vt:lpstr>
      <vt:lpstr>Output!Print_Area</vt:lpstr>
      <vt:lpstr>Schedules!Print_Area</vt:lpstr>
      <vt:lpstr>WACC!Print_Area</vt:lpstr>
      <vt:lpstr>'Financial Statements'!Print_Titles</vt:lpstr>
      <vt:lpstr>'Key Drivers'!Print_Titles</vt:lpstr>
      <vt:lpstr>Schedules!Print_Titles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Devansh Wadhwani</dc:creator>
  <dc:description/>
  <cp:lastModifiedBy>Devansh Wadhwani</cp:lastModifiedBy>
  <cp:revision>0</cp:revision>
  <cp:lastPrinted>2026-07-01T04:22:15Z</cp:lastPrinted>
  <dcterms:created xsi:type="dcterms:W3CDTF">2026-06-23T12:29:22Z</dcterms:created>
  <dcterms:modified xsi:type="dcterms:W3CDTF">2026-07-01T11:59:20Z</dcterms:modified>
  <dc:language>en-US</dc:language>
</cp:coreProperties>
</file>